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ssell3000 Feb 2025(Upcoming s" sheetId="1" r:id="rId4"/>
    <sheet state="visible" name="Filtered Data = 2025" sheetId="2" r:id="rId5"/>
  </sheets>
  <definedNames/>
  <calcPr/>
</workbook>
</file>

<file path=xl/sharedStrings.xml><?xml version="1.0" encoding="utf-8"?>
<sst xmlns="http://schemas.openxmlformats.org/spreadsheetml/2006/main" count="7435" uniqueCount="5156">
  <si>
    <t>Company</t>
  </si>
  <si>
    <t>Ticker</t>
  </si>
  <si>
    <t>Shareholder Meeting Date</t>
  </si>
  <si>
    <t>Last shareholder meeting date</t>
  </si>
  <si>
    <t>Shareholder Meeting date (no code)</t>
  </si>
  <si>
    <t>Hp Inc  Com</t>
  </si>
  <si>
    <t>HPQ-US</t>
  </si>
  <si>
    <t>Synopsys (Synopsis) Inc  Com</t>
  </si>
  <si>
    <t>SNPS-US</t>
  </si>
  <si>
    <t>Fuelcell Energy Inc  Com</t>
  </si>
  <si>
    <t>FCEL-US</t>
  </si>
  <si>
    <t>Hewlett Packard Enterprise Co  Com</t>
  </si>
  <si>
    <t>HPE-US</t>
  </si>
  <si>
    <t>Cooper Companies Inc  Com</t>
  </si>
  <si>
    <t>COO-US</t>
  </si>
  <si>
    <t>Td Synnex Corp  Com</t>
  </si>
  <si>
    <t>SNX-US</t>
  </si>
  <si>
    <t>Photronics Inc  Com</t>
  </si>
  <si>
    <t>PLAB-US</t>
  </si>
  <si>
    <t>Jefferies Financial Group Inc  Com</t>
  </si>
  <si>
    <t>JEF-US</t>
  </si>
  <si>
    <t>Ciena Corp  Com</t>
  </si>
  <si>
    <t>CIEN-US</t>
  </si>
  <si>
    <t>Hovnanian Enterprises Inc  Cl A</t>
  </si>
  <si>
    <t>HOV-US</t>
  </si>
  <si>
    <t>Rmr Group Inc  Cl A</t>
  </si>
  <si>
    <t>RMR-US</t>
  </si>
  <si>
    <t>Mccormick &amp; Co Inc  Com Non Vtg</t>
  </si>
  <si>
    <t>MKC-US</t>
  </si>
  <si>
    <t>Abm Industries Inc  Com</t>
  </si>
  <si>
    <t>ABM-US</t>
  </si>
  <si>
    <t>Concentrix Corp  Com Wi</t>
  </si>
  <si>
    <t>CNXC-US</t>
  </si>
  <si>
    <t>Walt Disney Co  Com</t>
  </si>
  <si>
    <t>DIS-US</t>
  </si>
  <si>
    <t>Keysight Technologies Inc  Com</t>
  </si>
  <si>
    <t>KEYS-US</t>
  </si>
  <si>
    <t>Construction Partners Inc  Cl A</t>
  </si>
  <si>
    <t>ROAD-US</t>
  </si>
  <si>
    <t>Qualcomm Inc  Com</t>
  </si>
  <si>
    <t>QCOM-US</t>
  </si>
  <si>
    <t>Toro Co  Com</t>
  </si>
  <si>
    <t>TTC-US</t>
  </si>
  <si>
    <t>Fluence Energy Inc  Cl A</t>
  </si>
  <si>
    <t>FLNC-US</t>
  </si>
  <si>
    <t>Heico Corp  Cl A</t>
  </si>
  <si>
    <t>HEI.A-US</t>
  </si>
  <si>
    <t>Heico Corp  Com</t>
  </si>
  <si>
    <t>HEI-US</t>
  </si>
  <si>
    <t>Blue Bird Corp  Com</t>
  </si>
  <si>
    <t>BLBD-US</t>
  </si>
  <si>
    <t>Agilent Technologies Inc  Com</t>
  </si>
  <si>
    <t>A-US</t>
  </si>
  <si>
    <t>F5 Inc  Com</t>
  </si>
  <si>
    <t>FFIV-US</t>
  </si>
  <si>
    <t>National Fuel Gas Co (Nj)  Com</t>
  </si>
  <si>
    <t>NFG-US</t>
  </si>
  <si>
    <t>Cabot Corp  Com</t>
  </si>
  <si>
    <t>CBT-US</t>
  </si>
  <si>
    <t>Enanta Pharmaceuticals Inc  Com</t>
  </si>
  <si>
    <t>ENTA-US</t>
  </si>
  <si>
    <t>Analog Devices Inc  Com</t>
  </si>
  <si>
    <t>ADI-US</t>
  </si>
  <si>
    <t>Starbucks Corp  Com</t>
  </si>
  <si>
    <t>SBUX-US</t>
  </si>
  <si>
    <t>Johnson Controls Intl Plc  Com</t>
  </si>
  <si>
    <t>JCI-US</t>
  </si>
  <si>
    <t>Arrowhead Pharmaceuticals Inc  Com</t>
  </si>
  <si>
    <t>ARWR-US</t>
  </si>
  <si>
    <t>Leslies Inc  Com</t>
  </si>
  <si>
    <t>LESL-US</t>
  </si>
  <si>
    <t>Toll Brothers Inc  Com</t>
  </si>
  <si>
    <t>TOL-US</t>
  </si>
  <si>
    <t>Maximus Inc  Com</t>
  </si>
  <si>
    <t>MMS-US</t>
  </si>
  <si>
    <t>Griffon Corp  Com</t>
  </si>
  <si>
    <t>GFF-US</t>
  </si>
  <si>
    <t>Sonos Inc  Com</t>
  </si>
  <si>
    <t>SONO-US</t>
  </si>
  <si>
    <t>Outlook Therapeutics Inc  Com</t>
  </si>
  <si>
    <t>OTLK-US</t>
  </si>
  <si>
    <t>Sanmina Corp  Com</t>
  </si>
  <si>
    <t>SANM-US</t>
  </si>
  <si>
    <t>Applied Materials Inc  Com</t>
  </si>
  <si>
    <t>AMAT-US</t>
  </si>
  <si>
    <t>Transdigm Group Inc  Com</t>
  </si>
  <si>
    <t>TDG-US</t>
  </si>
  <si>
    <t>Cencora Inc  Com</t>
  </si>
  <si>
    <t>COR-US</t>
  </si>
  <si>
    <t>Emvmacom Tech Solutions Hldgs  Com</t>
  </si>
  <si>
    <t>MTSI-US</t>
  </si>
  <si>
    <t>Universal Technical Institute  Com</t>
  </si>
  <si>
    <t>UTI-US</t>
  </si>
  <si>
    <t>Compass Minerals International  Com</t>
  </si>
  <si>
    <t>CMP-US</t>
  </si>
  <si>
    <t>Fair Isaac Corp  Com</t>
  </si>
  <si>
    <t>FICO-US</t>
  </si>
  <si>
    <t>Helmerich &amp; Payne Inc  Com</t>
  </si>
  <si>
    <t>HP-US</t>
  </si>
  <si>
    <t>Stonex Group Inc  Com</t>
  </si>
  <si>
    <t>SNEX-US</t>
  </si>
  <si>
    <t>Amentum Holdings Inc  Com</t>
  </si>
  <si>
    <t>AMTM-US</t>
  </si>
  <si>
    <t>Kulicke &amp; Soffa Industries Inc  Com</t>
  </si>
  <si>
    <t>KLIC-US</t>
  </si>
  <si>
    <t>Natural Grocers By Vitamin  Com</t>
  </si>
  <si>
    <t>NGVC-US</t>
  </si>
  <si>
    <t>Nordson Corp  Com</t>
  </si>
  <si>
    <t>NDSN-US</t>
  </si>
  <si>
    <t>Brightview Holdings Inc  Com</t>
  </si>
  <si>
    <t>BV-US</t>
  </si>
  <si>
    <t>Mitek Systems Inc  Com</t>
  </si>
  <si>
    <t>MITK-US</t>
  </si>
  <si>
    <t>Cleanspark Inc  Com</t>
  </si>
  <si>
    <t>CLSK-US</t>
  </si>
  <si>
    <t>Ingles Markets Inc  Cl A</t>
  </si>
  <si>
    <t>IMKTA-US</t>
  </si>
  <si>
    <t>Aecom  Com</t>
  </si>
  <si>
    <t>ACM-US</t>
  </si>
  <si>
    <t>Azek Co Inc  Cl A</t>
  </si>
  <si>
    <t>AZEK-US</t>
  </si>
  <si>
    <t>Jack In The Box Inc  Com</t>
  </si>
  <si>
    <t>JACK-US</t>
  </si>
  <si>
    <t>Tetra Tech Inc  Com</t>
  </si>
  <si>
    <t>TTEK-US</t>
  </si>
  <si>
    <t>Rev Group Inc  Com</t>
  </si>
  <si>
    <t>REVG-US</t>
  </si>
  <si>
    <t>Quanex Building Products Corp  Com</t>
  </si>
  <si>
    <t>NX-US</t>
  </si>
  <si>
    <t>Liquidity Services Inc  Com</t>
  </si>
  <si>
    <t>LQDT-US</t>
  </si>
  <si>
    <t>Clearfield Inc  Com</t>
  </si>
  <si>
    <t>CLFD-US</t>
  </si>
  <si>
    <t>Johnson Outdoors Inc  Cl A</t>
  </si>
  <si>
    <t>JOUT-US</t>
  </si>
  <si>
    <t>Deere &amp; Co  Com</t>
  </si>
  <si>
    <t>DE-US</t>
  </si>
  <si>
    <t>Hologic Inc  Com</t>
  </si>
  <si>
    <t>HOLX-US</t>
  </si>
  <si>
    <t>Apple Inc  Com</t>
  </si>
  <si>
    <t>AAPL-US</t>
  </si>
  <si>
    <t>Pathward Financial Inc  Com</t>
  </si>
  <si>
    <t>CASH-US</t>
  </si>
  <si>
    <t>I3 Verticals Inc  Cl A</t>
  </si>
  <si>
    <t>IIIV-US</t>
  </si>
  <si>
    <t>Greif Inc  Cl A Non-Vtg</t>
  </si>
  <si>
    <t>GEF-US</t>
  </si>
  <si>
    <t>Greif Inc  Cl B</t>
  </si>
  <si>
    <t>GEF.B-US</t>
  </si>
  <si>
    <t>Marinemax Inc  Com</t>
  </si>
  <si>
    <t>HZO-US</t>
  </si>
  <si>
    <t>Raymond James Financial Inc  Com</t>
  </si>
  <si>
    <t>RJF-US</t>
  </si>
  <si>
    <t>Ies Holdings Inc  Com</t>
  </si>
  <si>
    <t>IESC-US</t>
  </si>
  <si>
    <t>Matthews International Corp Cl A</t>
  </si>
  <si>
    <t>MATW-US</t>
  </si>
  <si>
    <t>Onewater Marine Inc  Cl A</t>
  </si>
  <si>
    <t>ONEW-US</t>
  </si>
  <si>
    <t>Powell Industries Inc  Com</t>
  </si>
  <si>
    <t>POWL-US</t>
  </si>
  <si>
    <t>Daily Journal Corp  Com</t>
  </si>
  <si>
    <t>DJCO-US</t>
  </si>
  <si>
    <t>Hillenbrand Inc  Com</t>
  </si>
  <si>
    <t>HI-US</t>
  </si>
  <si>
    <t>Cerence Inc  Com</t>
  </si>
  <si>
    <t>CRNC-US</t>
  </si>
  <si>
    <t>Varex Imaging Corp  Com</t>
  </si>
  <si>
    <t>VREX-US</t>
  </si>
  <si>
    <t>Simulations Plus Inc  Com</t>
  </si>
  <si>
    <t>SLP-US</t>
  </si>
  <si>
    <t>Ptc Inc  Com</t>
  </si>
  <si>
    <t>PTC-US</t>
  </si>
  <si>
    <t>J&amp;J Snack Foods Corp  Com</t>
  </si>
  <si>
    <t>JJSF-US</t>
  </si>
  <si>
    <t>Central Garden &amp; Pet Co  Cl A Nvtg</t>
  </si>
  <si>
    <t>CENTA-US</t>
  </si>
  <si>
    <t>Embecta Corp  Com Wi</t>
  </si>
  <si>
    <t>EMBC-US</t>
  </si>
  <si>
    <t>Central Garden &amp; Pet Co  Com</t>
  </si>
  <si>
    <t>CENT-US</t>
  </si>
  <si>
    <t>Insteel Industries Inc  Com</t>
  </si>
  <si>
    <t>IIIN-US</t>
  </si>
  <si>
    <t>Plexus Corp  Com</t>
  </si>
  <si>
    <t>PLXS-US</t>
  </si>
  <si>
    <t>Wafd Inc  Com</t>
  </si>
  <si>
    <t>WAFD-US</t>
  </si>
  <si>
    <t>Penguin Solutions Inc  Com</t>
  </si>
  <si>
    <t>PENG-US</t>
  </si>
  <si>
    <t>Tyson Foods Inc  Cl A</t>
  </si>
  <si>
    <t>TSN-US</t>
  </si>
  <si>
    <t>Mueller Water Products Inc  Cl A</t>
  </si>
  <si>
    <t>MWA-US</t>
  </si>
  <si>
    <t>Pricesmart Inc  Com</t>
  </si>
  <si>
    <t>PSMT-US</t>
  </si>
  <si>
    <t>Enerpac Tool Group Corp  Cl A</t>
  </si>
  <si>
    <t>EPAC-US</t>
  </si>
  <si>
    <t>Edgewell Personal Care Co  Com</t>
  </si>
  <si>
    <t>EPC-US</t>
  </si>
  <si>
    <t>Beazer Homes Usa Inc  Com</t>
  </si>
  <si>
    <t>BZH-US</t>
  </si>
  <si>
    <t>Surmodics Inc  Com</t>
  </si>
  <si>
    <t>SRDX-US</t>
  </si>
  <si>
    <t>Atmos Energy Corp  Com</t>
  </si>
  <si>
    <t>ATO-US</t>
  </si>
  <si>
    <t>Berry Plastics Group Inc  Com</t>
  </si>
  <si>
    <t>BERY-US</t>
  </si>
  <si>
    <t>Twist Bioscience Corp  Com</t>
  </si>
  <si>
    <t>TWST-US</t>
  </si>
  <si>
    <t>Emerson Electric Co  Com</t>
  </si>
  <si>
    <t>EMR-US</t>
  </si>
  <si>
    <t>Rockwell Automation Inc  Com</t>
  </si>
  <si>
    <t>ROK-US</t>
  </si>
  <si>
    <t>Franklin Resources Inc  Com</t>
  </si>
  <si>
    <t>BEN-US</t>
  </si>
  <si>
    <t>Moog Inc  Cl A</t>
  </si>
  <si>
    <t>MOG.A-US</t>
  </si>
  <si>
    <t>Dolby Laboratories Inc  Cl A</t>
  </si>
  <si>
    <t>DLB-US</t>
  </si>
  <si>
    <t>Esco Technologies Inc  Com</t>
  </si>
  <si>
    <t>ESE-US</t>
  </si>
  <si>
    <t>Digi International Inc  Com</t>
  </si>
  <si>
    <t>DGII-US</t>
  </si>
  <si>
    <t>Ugi Corp  Com</t>
  </si>
  <si>
    <t>UGI-US</t>
  </si>
  <si>
    <t>Walgreens Boots Alliance  Com</t>
  </si>
  <si>
    <t>WBA-US</t>
  </si>
  <si>
    <t>Post Holdings Inc  Com</t>
  </si>
  <si>
    <t>POST-US</t>
  </si>
  <si>
    <t>Spire Inc  Com</t>
  </si>
  <si>
    <t>SR-US</t>
  </si>
  <si>
    <t>Atkore Inc  Com</t>
  </si>
  <si>
    <t>ATKR-US</t>
  </si>
  <si>
    <t>Azenta Inc  Com</t>
  </si>
  <si>
    <t>AZTA-US</t>
  </si>
  <si>
    <t>Jacobs Solutions Inc  Com</t>
  </si>
  <si>
    <t>J-US</t>
  </si>
  <si>
    <t>Woodward Inc  Com</t>
  </si>
  <si>
    <t>WWD-US</t>
  </si>
  <si>
    <t>Visa Inc  Cl A</t>
  </si>
  <si>
    <t>V-US</t>
  </si>
  <si>
    <t>Becton Dickinson &amp; Co  Com</t>
  </si>
  <si>
    <t>BDX-US</t>
  </si>
  <si>
    <t>Bellring Brands Inc  Com</t>
  </si>
  <si>
    <t>BRBR-US</t>
  </si>
  <si>
    <t>Hormel Foods Corp  Com</t>
  </si>
  <si>
    <t>HRL-US</t>
  </si>
  <si>
    <t>Valvoline Inc  Com</t>
  </si>
  <si>
    <t>VVV-US</t>
  </si>
  <si>
    <t>Capitol Federal Financial  Com</t>
  </si>
  <si>
    <t>CFFN-US</t>
  </si>
  <si>
    <t>Timberland Bancorp Inc  Com</t>
  </si>
  <si>
    <t>TSBK-US</t>
  </si>
  <si>
    <t>Radius Recycling Inc  Cl A</t>
  </si>
  <si>
    <t>RDUS-US</t>
  </si>
  <si>
    <t>Scotts Miracle-Gro Co  Cl A</t>
  </si>
  <si>
    <t>SMG-US</t>
  </si>
  <si>
    <t>Vestis Corp  Com</t>
  </si>
  <si>
    <t>VSTS-US</t>
  </si>
  <si>
    <t>Aramark  Com</t>
  </si>
  <si>
    <t>ARMK-US</t>
  </si>
  <si>
    <t>Energizer Holdings Inc  Com New</t>
  </si>
  <si>
    <t>ENR-US</t>
  </si>
  <si>
    <t>Sally Beauty Holdings Inc  Com</t>
  </si>
  <si>
    <t>SBH-US</t>
  </si>
  <si>
    <t>Franklin Covey Co  Com</t>
  </si>
  <si>
    <t>FC-US</t>
  </si>
  <si>
    <t>Costco Wholesale Corp  Com</t>
  </si>
  <si>
    <t>COST-US</t>
  </si>
  <si>
    <t>Intuit Inc  Com</t>
  </si>
  <si>
    <t>INTU-US</t>
  </si>
  <si>
    <t>Air Products &amp; Chemicals Inc  Com</t>
  </si>
  <si>
    <t>APD-US</t>
  </si>
  <si>
    <t>Jabil Inc  Com</t>
  </si>
  <si>
    <t>JBL-US</t>
  </si>
  <si>
    <t>Simply Good Foods Co  Com</t>
  </si>
  <si>
    <t>SMPL-US</t>
  </si>
  <si>
    <t>Kura Sushi Usa Inc  Cl A</t>
  </si>
  <si>
    <t>KRUS-US</t>
  </si>
  <si>
    <t>Acuity Brands Inc  Com</t>
  </si>
  <si>
    <t>AYI-US</t>
  </si>
  <si>
    <t>Msc Industrial Direct Inc  Cl A</t>
  </si>
  <si>
    <t>MSM-US</t>
  </si>
  <si>
    <t>New Jersey Resources  Com</t>
  </si>
  <si>
    <t>NJR-US</t>
  </si>
  <si>
    <t>Ashland Inc  Com</t>
  </si>
  <si>
    <t>ASH-US</t>
  </si>
  <si>
    <t>Forestar Group Inc  Com</t>
  </si>
  <si>
    <t>FOR-US</t>
  </si>
  <si>
    <t>Micron Technology Inc  Com</t>
  </si>
  <si>
    <t>MU-US</t>
  </si>
  <si>
    <t>D R Horton Inc  Com</t>
  </si>
  <si>
    <t>DHI-US</t>
  </si>
  <si>
    <t>Commercial Metals Co  Com</t>
  </si>
  <si>
    <t>CMC-US</t>
  </si>
  <si>
    <t>Unifirst Corp/Ma  Com</t>
  </si>
  <si>
    <t>UNF-US</t>
  </si>
  <si>
    <t>Zscaler Inc  Com</t>
  </si>
  <si>
    <t>ZS-US</t>
  </si>
  <si>
    <t>Greenbrier Companies Inc  Com</t>
  </si>
  <si>
    <t>GBX-US</t>
  </si>
  <si>
    <t>Lindsay Corp  Com</t>
  </si>
  <si>
    <t>LNN-US</t>
  </si>
  <si>
    <t>Ringcentral Inc  Cl A</t>
  </si>
  <si>
    <t>RNG-US</t>
  </si>
  <si>
    <t>Sapiens International Corp Nv  Ord</t>
  </si>
  <si>
    <t>SPNS-US</t>
  </si>
  <si>
    <t>Amedisys Inc  Com</t>
  </si>
  <si>
    <t>AMED-US</t>
  </si>
  <si>
    <t>Globalstar Inc  Com</t>
  </si>
  <si>
    <t>GSAT-US</t>
  </si>
  <si>
    <t>Grid Dynamics Holdings Inc  Cl A</t>
  </si>
  <si>
    <t>GDYN-US</t>
  </si>
  <si>
    <t>Thor Industries Inc  Com</t>
  </si>
  <si>
    <t>THO-US</t>
  </si>
  <si>
    <t>Factset Research Systems Inc  Com</t>
  </si>
  <si>
    <t>FDS-US</t>
  </si>
  <si>
    <t>Primis Financial Corp  Com</t>
  </si>
  <si>
    <t>FRST-US</t>
  </si>
  <si>
    <t>Autozone Inc  Com</t>
  </si>
  <si>
    <t>AZO-US</t>
  </si>
  <si>
    <t>Guidewire Software Inc  Com</t>
  </si>
  <si>
    <t>GWRE-US</t>
  </si>
  <si>
    <t>Aspen Technology Inc  Com</t>
  </si>
  <si>
    <t>AZPN-US</t>
  </si>
  <si>
    <t>United Natural Foods Inc  Com</t>
  </si>
  <si>
    <t>UNFI-US</t>
  </si>
  <si>
    <t>Winnebago Industries Inc  Com</t>
  </si>
  <si>
    <t>WGO-US</t>
  </si>
  <si>
    <t>Nutanix Inc  Cl A</t>
  </si>
  <si>
    <t>NTNX-US</t>
  </si>
  <si>
    <t>Fabrinet  Com</t>
  </si>
  <si>
    <t>FN-US</t>
  </si>
  <si>
    <t>Wd-40 Co  Com</t>
  </si>
  <si>
    <t>WDFC-US</t>
  </si>
  <si>
    <t>Osi Systems Inc  Com</t>
  </si>
  <si>
    <t>OSIS-US</t>
  </si>
  <si>
    <t>Mcgrath Rentcorp  Com</t>
  </si>
  <si>
    <t>MGRC-US</t>
  </si>
  <si>
    <t>Napco Security Technologies Inc  Com</t>
  </si>
  <si>
    <t>NSSC-US</t>
  </si>
  <si>
    <t>Despegar Com Corp  Com</t>
  </si>
  <si>
    <t>DESP-US</t>
  </si>
  <si>
    <t>Idt Corp  Cl B</t>
  </si>
  <si>
    <t>IDT-US</t>
  </si>
  <si>
    <t>Stitch Fix Inc  Cl A</t>
  </si>
  <si>
    <t>SFIX-US</t>
  </si>
  <si>
    <t>Atlassian Corp  Cl A</t>
  </si>
  <si>
    <t>TEAM-US</t>
  </si>
  <si>
    <t>1 800 Flowers Com Inc  Cl A</t>
  </si>
  <si>
    <t>FLWS-US</t>
  </si>
  <si>
    <t>Oil Dri Corp America  Com</t>
  </si>
  <si>
    <t>ODC-US</t>
  </si>
  <si>
    <t>Microsoft Corp  Com</t>
  </si>
  <si>
    <t>MSFT-US</t>
  </si>
  <si>
    <t>Palo Alto Networks Inc  Com</t>
  </si>
  <si>
    <t>PANW-US</t>
  </si>
  <si>
    <t>Scansource Inc  Com</t>
  </si>
  <si>
    <t>SCSC-US</t>
  </si>
  <si>
    <t>Zymeworks Inc  Com</t>
  </si>
  <si>
    <t>ZYME-US</t>
  </si>
  <si>
    <t>Cisco Systems Inc  Com</t>
  </si>
  <si>
    <t>CSCO-US</t>
  </si>
  <si>
    <t>Affirm Holdings Inc  Cl A</t>
  </si>
  <si>
    <t>AFRM-US</t>
  </si>
  <si>
    <t>Sphere Entertainment Co  Cl A</t>
  </si>
  <si>
    <t>SPHR-US</t>
  </si>
  <si>
    <t>Copart Inc  Com</t>
  </si>
  <si>
    <t>CPRT-US</t>
  </si>
  <si>
    <t>Viatris Inc  Com</t>
  </si>
  <si>
    <t>VTRS-US</t>
  </si>
  <si>
    <t>Premier Inc  Cl A</t>
  </si>
  <si>
    <t>PINC-US</t>
  </si>
  <si>
    <t>Jakks Pacific Inc  Com</t>
  </si>
  <si>
    <t>JAKK-US</t>
  </si>
  <si>
    <t>Paylocity Holding Corp  Com</t>
  </si>
  <si>
    <t>PCTY-US</t>
  </si>
  <si>
    <t>Bill Holdings Inc  Com</t>
  </si>
  <si>
    <t>BILL-US</t>
  </si>
  <si>
    <t>Vail Resorts Inc  Com</t>
  </si>
  <si>
    <t>MTN-US</t>
  </si>
  <si>
    <t>Ubiquiti Inc  Com</t>
  </si>
  <si>
    <t>UI-US</t>
  </si>
  <si>
    <t>Wolfspeed Inc  Com</t>
  </si>
  <si>
    <t>WOLF-US</t>
  </si>
  <si>
    <t>Evolution Petroleum Corp  Com</t>
  </si>
  <si>
    <t>EPM-US</t>
  </si>
  <si>
    <t>Madison Square Garden Sports  Cl A</t>
  </si>
  <si>
    <t>MSGS-US</t>
  </si>
  <si>
    <t>Peloton Interactive Inc  Cl A</t>
  </si>
  <si>
    <t>PTON-US</t>
  </si>
  <si>
    <t>Tecnoglass Inc  Com</t>
  </si>
  <si>
    <t>TGLS-US</t>
  </si>
  <si>
    <t>Donaldson Co Inc  Com</t>
  </si>
  <si>
    <t>DCI-US</t>
  </si>
  <si>
    <t>Avnet Inc  Com</t>
  </si>
  <si>
    <t>AVT-US</t>
  </si>
  <si>
    <t>Cracker Barrel Old Country  Com</t>
  </si>
  <si>
    <t>CBRL-US</t>
  </si>
  <si>
    <t>Cormedix Inc  Com</t>
  </si>
  <si>
    <t>CRMD-US</t>
  </si>
  <si>
    <t>Nordic American Tankers Ltd  Com</t>
  </si>
  <si>
    <t>NAT-US</t>
  </si>
  <si>
    <t>Accuray Inc  Com</t>
  </si>
  <si>
    <t>ARAY-US</t>
  </si>
  <si>
    <t>Resmed Inc  Com</t>
  </si>
  <si>
    <t>RMD-US</t>
  </si>
  <si>
    <t>Western Digital Corp  Com</t>
  </si>
  <si>
    <t>WDC-US</t>
  </si>
  <si>
    <t>Clorox Co  Com</t>
  </si>
  <si>
    <t>CLX-US</t>
  </si>
  <si>
    <t>Performance Food Group Co  Com</t>
  </si>
  <si>
    <t>PFGC-US</t>
  </si>
  <si>
    <t>News Corp Cl A Non Vtg</t>
  </si>
  <si>
    <t>NWSA-US</t>
  </si>
  <si>
    <t>Lumentum Holdings Inc  Com</t>
  </si>
  <si>
    <t>LITE-US</t>
  </si>
  <si>
    <t>News Corp  Cl B</t>
  </si>
  <si>
    <t>NWS-US</t>
  </si>
  <si>
    <t>Applied Digital Corp  Com</t>
  </si>
  <si>
    <t>APLD-US</t>
  </si>
  <si>
    <t>Cantaloupe Inc  Com</t>
  </si>
  <si>
    <t>CTLP-US</t>
  </si>
  <si>
    <t>Byrna Technologies Inc  Com</t>
  </si>
  <si>
    <t>BYRN-US</t>
  </si>
  <si>
    <t>Fox Corp  Cl A</t>
  </si>
  <si>
    <t>FOXA-US</t>
  </si>
  <si>
    <t>Campbells Co  Com</t>
  </si>
  <si>
    <t>CPB-US</t>
  </si>
  <si>
    <t>Fox Corp  Cl B</t>
  </si>
  <si>
    <t>FOX-US</t>
  </si>
  <si>
    <t>Sezzle Inc  Com</t>
  </si>
  <si>
    <t>SEZL-US</t>
  </si>
  <si>
    <t>Sysco Corp  Com</t>
  </si>
  <si>
    <t>SYY-US</t>
  </si>
  <si>
    <t>Kimball Electronics Inc  Com</t>
  </si>
  <si>
    <t>KE-US</t>
  </si>
  <si>
    <t>Oracle Corp  Com</t>
  </si>
  <si>
    <t>ORCL-US</t>
  </si>
  <si>
    <t>Broadridge Financial Solutions  Ord</t>
  </si>
  <si>
    <t>BR-US</t>
  </si>
  <si>
    <t>Tapestry Inc  Com</t>
  </si>
  <si>
    <t>TPR-US</t>
  </si>
  <si>
    <t>Coherent Corp  Com</t>
  </si>
  <si>
    <t>COHR-US</t>
  </si>
  <si>
    <t>Axos Financial Inc  Com</t>
  </si>
  <si>
    <t>AX-US</t>
  </si>
  <si>
    <t>Extreme Networks Inc  Com</t>
  </si>
  <si>
    <t>EXTR-US</t>
  </si>
  <si>
    <t>Adtalem Global Education Inc  Com</t>
  </si>
  <si>
    <t>ATGE-US</t>
  </si>
  <si>
    <t>Intapp Inc  Com</t>
  </si>
  <si>
    <t>INTA-US</t>
  </si>
  <si>
    <t>A Mark Precious Metals Inc  Com</t>
  </si>
  <si>
    <t>AMRK-US</t>
  </si>
  <si>
    <t>Jack Henry &amp; Associates Inc  Com</t>
  </si>
  <si>
    <t>JKHY-US</t>
  </si>
  <si>
    <t>Selectquote Inc  Com</t>
  </si>
  <si>
    <t>SLQT-US</t>
  </si>
  <si>
    <t>Angiodynamics Inc  Com</t>
  </si>
  <si>
    <t>ANGO-US</t>
  </si>
  <si>
    <t>Texas Pacific Land Corp  Com</t>
  </si>
  <si>
    <t>TPL-US</t>
  </si>
  <si>
    <t>Estee Lauder Companies Inc  Cl A</t>
  </si>
  <si>
    <t>EL-US</t>
  </si>
  <si>
    <t>American Healthcare Reit Inc  Com</t>
  </si>
  <si>
    <t>AHR-US</t>
  </si>
  <si>
    <t>Coty Inc  Cl A</t>
  </si>
  <si>
    <t>COTY-US</t>
  </si>
  <si>
    <t>Alpha &amp; Omega Semiconductor  Com</t>
  </si>
  <si>
    <t>AOSL-US</t>
  </si>
  <si>
    <t>Kla (Tencor) Corp  Com</t>
  </si>
  <si>
    <t>KLAC-US</t>
  </si>
  <si>
    <t>Cardinal Health Inc  Com</t>
  </si>
  <si>
    <t>CAH-US</t>
  </si>
  <si>
    <t>H&amp;R Block Inc  Com</t>
  </si>
  <si>
    <t>HRB-US</t>
  </si>
  <si>
    <t>Brinker International Inc  Com</t>
  </si>
  <si>
    <t>EAT-US</t>
  </si>
  <si>
    <t>Lancaster Colony Corp  Com</t>
  </si>
  <si>
    <t>LANC-US</t>
  </si>
  <si>
    <t>Viavi Solutions Inc  Com</t>
  </si>
  <si>
    <t>VIAV-US</t>
  </si>
  <si>
    <t>Ethan Allen Interiors Inc  Com</t>
  </si>
  <si>
    <t>ETD-US</t>
  </si>
  <si>
    <t>Aviat Networks Inc  Com</t>
  </si>
  <si>
    <t>AVNW-US</t>
  </si>
  <si>
    <t>Bluebird Bio Inc  Com</t>
  </si>
  <si>
    <t>BLUE-US</t>
  </si>
  <si>
    <t>Lam Research Corp  Com</t>
  </si>
  <si>
    <t>LRCX-US</t>
  </si>
  <si>
    <t>Lsi Industries Inc  Com</t>
  </si>
  <si>
    <t>LYTS-US</t>
  </si>
  <si>
    <t>Phibro Animal Health Corp  Cl A</t>
  </si>
  <si>
    <t>PAHC-US</t>
  </si>
  <si>
    <t>Quinstreet Inc  Com</t>
  </si>
  <si>
    <t>QNST-US</t>
  </si>
  <si>
    <t>Hain Celestial Group Inc  Com</t>
  </si>
  <si>
    <t>HAIN-US</t>
  </si>
  <si>
    <t>John B Sanfilippo &amp; Son Inc  Com</t>
  </si>
  <si>
    <t>JBSS-US</t>
  </si>
  <si>
    <t>Cintas Corp  Com</t>
  </si>
  <si>
    <t>CTAS-US</t>
  </si>
  <si>
    <t>Synaptics Inc  Com</t>
  </si>
  <si>
    <t>SYNA-US</t>
  </si>
  <si>
    <t>Kennametal Inc  Com</t>
  </si>
  <si>
    <t>KMT-US</t>
  </si>
  <si>
    <t>Southern Missouri Bancorp Inc  Com</t>
  </si>
  <si>
    <t>SMBC-US</t>
  </si>
  <si>
    <t>Bio Techne Corp  Com</t>
  </si>
  <si>
    <t>TECH-US</t>
  </si>
  <si>
    <t>Neogen Corp  Com</t>
  </si>
  <si>
    <t>NEOG-US</t>
  </si>
  <si>
    <t>James River Group Holdings Ltd  Com</t>
  </si>
  <si>
    <t>JRVR-US</t>
  </si>
  <si>
    <t>Parker Hannifin Corp  Com</t>
  </si>
  <si>
    <t>PH-US</t>
  </si>
  <si>
    <t>Gms Inc  Com</t>
  </si>
  <si>
    <t>GMS-US</t>
  </si>
  <si>
    <t>Mercury Systems Inc  Com</t>
  </si>
  <si>
    <t>MRCY-US</t>
  </si>
  <si>
    <t>Paycor Hcm Inc  Com</t>
  </si>
  <si>
    <t>PYCR-US</t>
  </si>
  <si>
    <t>Malibu Boats Inc  Cl A</t>
  </si>
  <si>
    <t>MBUU-US</t>
  </si>
  <si>
    <t>Applied Industrial Technologies  Com</t>
  </si>
  <si>
    <t>AIT-US</t>
  </si>
  <si>
    <t>Standex International Corp  Com</t>
  </si>
  <si>
    <t>SXI-US</t>
  </si>
  <si>
    <t>Mastercraft Boat Holdings Inc  Com</t>
  </si>
  <si>
    <t>MCFT-US</t>
  </si>
  <si>
    <t>Credo Technology Group Hdlg  Com</t>
  </si>
  <si>
    <t>CRDO-US</t>
  </si>
  <si>
    <t>Aehr Test Systems  Com</t>
  </si>
  <si>
    <t>AEHR-US</t>
  </si>
  <si>
    <t>Caci International Inc  Cl A</t>
  </si>
  <si>
    <t>CACI-US</t>
  </si>
  <si>
    <t>Newmark Group Inc  Cl A</t>
  </si>
  <si>
    <t>NMRK-US</t>
  </si>
  <si>
    <t>Kearny Financial Corp  Com</t>
  </si>
  <si>
    <t>KRNY-US</t>
  </si>
  <si>
    <t>Avid Bioservices Inc  Com</t>
  </si>
  <si>
    <t>CDMO-US</t>
  </si>
  <si>
    <t>Millerknoll Inc  Com</t>
  </si>
  <si>
    <t>MLKN-US</t>
  </si>
  <si>
    <t>Paychex Inc  Com</t>
  </si>
  <si>
    <t>PAYX-US</t>
  </si>
  <si>
    <t>Procter &amp; Gamble Co  Com</t>
  </si>
  <si>
    <t>PG-US</t>
  </si>
  <si>
    <t>Cal Maine Foods Inc  Com</t>
  </si>
  <si>
    <t>CALM-US</t>
  </si>
  <si>
    <t>National Beverage Corp  Com</t>
  </si>
  <si>
    <t>FIZZ-US</t>
  </si>
  <si>
    <t>Rpm International Inc  Com</t>
  </si>
  <si>
    <t>RPM-US</t>
  </si>
  <si>
    <t>Costamare Inc  Com</t>
  </si>
  <si>
    <t>CMRE-US</t>
  </si>
  <si>
    <t>Kalvista Pharmaceuticals Inc  Com</t>
  </si>
  <si>
    <t>KALV-US</t>
  </si>
  <si>
    <t>C3 Ai Inc  Cl A</t>
  </si>
  <si>
    <t>AI-US</t>
  </si>
  <si>
    <t>Freshpet Inc  Com</t>
  </si>
  <si>
    <t>FRPT-US</t>
  </si>
  <si>
    <t>Aerovironment Inc  Com</t>
  </si>
  <si>
    <t>AVAV-US</t>
  </si>
  <si>
    <t>Lamb Weston Holdings Inc  Com</t>
  </si>
  <si>
    <t>LW-US</t>
  </si>
  <si>
    <t>John Wiley &amp; Sons Inc  Cl A</t>
  </si>
  <si>
    <t>WLY-US</t>
  </si>
  <si>
    <t>Altimmune Inc  Com</t>
  </si>
  <si>
    <t>ALT-US</t>
  </si>
  <si>
    <t>Korn Ferry  Com</t>
  </si>
  <si>
    <t>KFY-US</t>
  </si>
  <si>
    <t>Worthington Steel Inc  Com</t>
  </si>
  <si>
    <t>WS-US</t>
  </si>
  <si>
    <t>Bit Digital Inc  Com</t>
  </si>
  <si>
    <t>BTBT-US</t>
  </si>
  <si>
    <t>General Mills Inc  Com</t>
  </si>
  <si>
    <t>GIS-US</t>
  </si>
  <si>
    <t>Worthington Enterprises Inc  Com</t>
  </si>
  <si>
    <t>WOR-US</t>
  </si>
  <si>
    <t>Fedex Corp  Com</t>
  </si>
  <si>
    <t>FDX-US</t>
  </si>
  <si>
    <t>Dorian Lpg Ltd  Com</t>
  </si>
  <si>
    <t>LPG-US</t>
  </si>
  <si>
    <t>Boston Omaha Corp  Cl A</t>
  </si>
  <si>
    <t>BOC-US</t>
  </si>
  <si>
    <t>Masimo Corp  Com</t>
  </si>
  <si>
    <t>MASI-US</t>
  </si>
  <si>
    <t>Take Two Interactive Software  Com</t>
  </si>
  <si>
    <t>TTWO-US</t>
  </si>
  <si>
    <t>Darden Restaurants Inc  Com</t>
  </si>
  <si>
    <t>DRI-US</t>
  </si>
  <si>
    <t>Conagra Brands Inc  Com</t>
  </si>
  <si>
    <t>CAG-US</t>
  </si>
  <si>
    <t>Houlihan Lokey Inc  Cl A</t>
  </si>
  <si>
    <t>HLI-US</t>
  </si>
  <si>
    <t>Scholastic Corp  Com</t>
  </si>
  <si>
    <t>SCHL-US</t>
  </si>
  <si>
    <t>Interparfums Inc  Com</t>
  </si>
  <si>
    <t>IPAR-US</t>
  </si>
  <si>
    <t>Aar Corp  Com</t>
  </si>
  <si>
    <t>AIR-US</t>
  </si>
  <si>
    <t>Powerfleet Inc  Com</t>
  </si>
  <si>
    <t>AIOT-US</t>
  </si>
  <si>
    <t>Smith &amp; Wesson Brands Inc  Com</t>
  </si>
  <si>
    <t>SWBI-US</t>
  </si>
  <si>
    <t>Bgc Group Inc  Cl A</t>
  </si>
  <si>
    <t>BGC-US</t>
  </si>
  <si>
    <t>Patterson Companies Inc  Com</t>
  </si>
  <si>
    <t>PDCO-US</t>
  </si>
  <si>
    <t>Agilysys Inc  Com</t>
  </si>
  <si>
    <t>AGYS-US</t>
  </si>
  <si>
    <t>Eplus Inc  Com</t>
  </si>
  <si>
    <t>PLUS-US</t>
  </si>
  <si>
    <t>Netscout Systems Inc  Com</t>
  </si>
  <si>
    <t>NTCT-US</t>
  </si>
  <si>
    <t>Safe Bulkers Inc  Com</t>
  </si>
  <si>
    <t>SB-US</t>
  </si>
  <si>
    <t>Netapp Inc  Com</t>
  </si>
  <si>
    <t>NTAP-US</t>
  </si>
  <si>
    <t>Transcat Inc  Com</t>
  </si>
  <si>
    <t>TRNS-US</t>
  </si>
  <si>
    <t>Methode Electronics Inc  Com</t>
  </si>
  <si>
    <t>MEI-US</t>
  </si>
  <si>
    <t>Nike Inc  Cl B</t>
  </si>
  <si>
    <t>NKE-US</t>
  </si>
  <si>
    <t>Gen Digital Inc  Com</t>
  </si>
  <si>
    <t>GEN-US</t>
  </si>
  <si>
    <t>Roivant Sciences Ltd  Com</t>
  </si>
  <si>
    <t>ROIV-US</t>
  </si>
  <si>
    <t>Stepstone Group Inc  Cl A</t>
  </si>
  <si>
    <t>STEP-US</t>
  </si>
  <si>
    <t>Ast Spacemobile Inc  Cl A</t>
  </si>
  <si>
    <t>ASTS-US</t>
  </si>
  <si>
    <t>Deckers Outdoor Corp  Com</t>
  </si>
  <si>
    <t>DECK-US</t>
  </si>
  <si>
    <t>Rbc Bearings Inc  Com</t>
  </si>
  <si>
    <t>RBC-US</t>
  </si>
  <si>
    <t>Hamilton Lane Inc  Cl A</t>
  </si>
  <si>
    <t>HLNE-US</t>
  </si>
  <si>
    <t>Viasat Inc  Com</t>
  </si>
  <si>
    <t>VSAT-US</t>
  </si>
  <si>
    <t>Capri Holdings Ltd  Com</t>
  </si>
  <si>
    <t>CPRI-US</t>
  </si>
  <si>
    <t>Under Armour Inc  Cl A</t>
  </si>
  <si>
    <t>UAA-US</t>
  </si>
  <si>
    <t>Under Armour Inc  Cl C Wi</t>
  </si>
  <si>
    <t>UA-US</t>
  </si>
  <si>
    <t>Daktronics Inc  Com</t>
  </si>
  <si>
    <t>DAKT-US</t>
  </si>
  <si>
    <t>Replimune Group Inc  Com</t>
  </si>
  <si>
    <t>REPL-US</t>
  </si>
  <si>
    <t>Nuvation Bio Inc  Cl A</t>
  </si>
  <si>
    <t>NUVB-US</t>
  </si>
  <si>
    <t>Mesa Labs Inc  Com</t>
  </si>
  <si>
    <t>MLAB-US</t>
  </si>
  <si>
    <t>3D Systems Corp  Com</t>
  </si>
  <si>
    <t>DDD-US</t>
  </si>
  <si>
    <t>Doximity Inc  Cl A</t>
  </si>
  <si>
    <t>DOCS-US</t>
  </si>
  <si>
    <t>Caseys General Stores Inc  Com</t>
  </si>
  <si>
    <t>CASY-US</t>
  </si>
  <si>
    <t>Boot Barn Holdings Inc  Com</t>
  </si>
  <si>
    <t>BOOT-US</t>
  </si>
  <si>
    <t>Encore Energy Corp  Com</t>
  </si>
  <si>
    <t>EU-CA</t>
  </si>
  <si>
    <t>La Z Boy Inc  Com</t>
  </si>
  <si>
    <t>LZB-US</t>
  </si>
  <si>
    <t>Americas Car Mart Inc  Com</t>
  </si>
  <si>
    <t>CRMT-US</t>
  </si>
  <si>
    <t>Digital Turbine Inc  Com</t>
  </si>
  <si>
    <t>APPS-US</t>
  </si>
  <si>
    <t>Dynatrace Inc  Com</t>
  </si>
  <si>
    <t>DT-US</t>
  </si>
  <si>
    <t>Elf Beauty Inc  Com</t>
  </si>
  <si>
    <t>ELF-US</t>
  </si>
  <si>
    <t>American Woodmark Corp  Com</t>
  </si>
  <si>
    <t>AMWD-US</t>
  </si>
  <si>
    <t>Helen Of Troy Corp Ltd  Com</t>
  </si>
  <si>
    <t>HELE-US</t>
  </si>
  <si>
    <t>World Acceptance Corp/De  Com</t>
  </si>
  <si>
    <t>WRLD-US</t>
  </si>
  <si>
    <t>Microchip Technology Inc  Com</t>
  </si>
  <si>
    <t>MCHP-US</t>
  </si>
  <si>
    <t>Graham Corp  Com</t>
  </si>
  <si>
    <t>GHM-US</t>
  </si>
  <si>
    <t>Logility Supply Chain Solution  Cl A</t>
  </si>
  <si>
    <t>LGTY-US</t>
  </si>
  <si>
    <t>Nextracker Inc  Cl A</t>
  </si>
  <si>
    <t>NXT-US</t>
  </si>
  <si>
    <t>Resources Connection Inc  Com</t>
  </si>
  <si>
    <t>RGP-US</t>
  </si>
  <si>
    <t>Modine Manufacturing Co  Com</t>
  </si>
  <si>
    <t>MOD-US</t>
  </si>
  <si>
    <t>U Haul Holding Co  Com N Nvtg</t>
  </si>
  <si>
    <t>UHAL.B-US</t>
  </si>
  <si>
    <t>Csw Industrials Inc  Com</t>
  </si>
  <si>
    <t>CSWI-US</t>
  </si>
  <si>
    <t>U Haul Holding Co  Com</t>
  </si>
  <si>
    <t>UHAL-US</t>
  </si>
  <si>
    <t>8X8 Inc  Com</t>
  </si>
  <si>
    <t>EGHT-US</t>
  </si>
  <si>
    <t>Trimble Inc  Com</t>
  </si>
  <si>
    <t>TRMB-US</t>
  </si>
  <si>
    <t>Jm Smucker Co  Com</t>
  </si>
  <si>
    <t>SJM-US</t>
  </si>
  <si>
    <t>Borr Drilling Ltd  Ord</t>
  </si>
  <si>
    <t>BORR-US</t>
  </si>
  <si>
    <t>Nu Holdings Ltd  Cl A</t>
  </si>
  <si>
    <t>NU-US</t>
  </si>
  <si>
    <t>Qorvo Inc  Com</t>
  </si>
  <si>
    <t>QRVO-US</t>
  </si>
  <si>
    <t>Golar Lng Ltd  Ord</t>
  </si>
  <si>
    <t>GLNG-US</t>
  </si>
  <si>
    <t>Liveramp Holdings Inc  Com</t>
  </si>
  <si>
    <t>RAMP-US</t>
  </si>
  <si>
    <t>Monro Inc  Com</t>
  </si>
  <si>
    <t>MNRO-US</t>
  </si>
  <si>
    <t>Immunovant Inc  Com</t>
  </si>
  <si>
    <t>IMVT-US</t>
  </si>
  <si>
    <t>Albertsons Cos Inc  Com</t>
  </si>
  <si>
    <t>ACI-US</t>
  </si>
  <si>
    <t>Commvault Systems Inc  Com</t>
  </si>
  <si>
    <t>CVLT-US</t>
  </si>
  <si>
    <t>Allegro Microsystems Inc  Com</t>
  </si>
  <si>
    <t>ALGM-US</t>
  </si>
  <si>
    <t>Triumph Group Inc  Com</t>
  </si>
  <si>
    <t>TGI-US</t>
  </si>
  <si>
    <t>Seneca Foods Corp  Cl A</t>
  </si>
  <si>
    <t>SENEA-US</t>
  </si>
  <si>
    <t>Pangaea Logistics Solutions Ltd  Com</t>
  </si>
  <si>
    <t>PANL-US</t>
  </si>
  <si>
    <t>Destination Xl Group Inc  Com</t>
  </si>
  <si>
    <t>DXLG-US</t>
  </si>
  <si>
    <t>Prestige Consumer Healthcare  Com</t>
  </si>
  <si>
    <t>PBH-US</t>
  </si>
  <si>
    <t>Spectrum Brands Holdings Inc  Com</t>
  </si>
  <si>
    <t>SPB-US</t>
  </si>
  <si>
    <t>Universal Corp  Com</t>
  </si>
  <si>
    <t>UVV-US</t>
  </si>
  <si>
    <t>Anterix Inc  Com</t>
  </si>
  <si>
    <t>ATEX-US</t>
  </si>
  <si>
    <t>Accolade Inc  Com</t>
  </si>
  <si>
    <t>ACCD-US</t>
  </si>
  <si>
    <t>American Superconductor Corp  Com</t>
  </si>
  <si>
    <t>AMSC-US</t>
  </si>
  <si>
    <t>Electronic Arts Inc  Com</t>
  </si>
  <si>
    <t>EA-US</t>
  </si>
  <si>
    <t>Ralph Lauren Corp  Cl A</t>
  </si>
  <si>
    <t>RL-US</t>
  </si>
  <si>
    <t>Eagle Materials Inc  Com</t>
  </si>
  <si>
    <t>EXP-US</t>
  </si>
  <si>
    <t>Champion Homes Inc  Com</t>
  </si>
  <si>
    <t>SKY-US</t>
  </si>
  <si>
    <t>Enersys  Com</t>
  </si>
  <si>
    <t>ENS-US</t>
  </si>
  <si>
    <t>Corvel Corp  Com</t>
  </si>
  <si>
    <t>CRVL-US</t>
  </si>
  <si>
    <t>Biolife Solutions Inc  Com</t>
  </si>
  <si>
    <t>BLFS-US</t>
  </si>
  <si>
    <t>Nve Corp  Com</t>
  </si>
  <si>
    <t>NVEC-US</t>
  </si>
  <si>
    <t>Mckesson Corp  Com</t>
  </si>
  <si>
    <t>MCK-US</t>
  </si>
  <si>
    <t>Hawkins Inc  Com</t>
  </si>
  <si>
    <t>HWKN-US</t>
  </si>
  <si>
    <t>Thermon Group Holdings Inc  Com</t>
  </si>
  <si>
    <t>THR-US</t>
  </si>
  <si>
    <t>Globalfoundries Inc  Com</t>
  </si>
  <si>
    <t>GFS-US</t>
  </si>
  <si>
    <t>Cavco Industries Inc  Com</t>
  </si>
  <si>
    <t>CVCO-US</t>
  </si>
  <si>
    <t>Dxc Technology Co  Com</t>
  </si>
  <si>
    <t>DXC-US</t>
  </si>
  <si>
    <t>Braemar Hotels &amp; Resorts Inc  Com</t>
  </si>
  <si>
    <t>BHR-US</t>
  </si>
  <si>
    <t>Crescent Energy Co  Cl A</t>
  </si>
  <si>
    <t>CRGY-US</t>
  </si>
  <si>
    <t>Cirrus Logic Inc  Com</t>
  </si>
  <si>
    <t>CRUS-US</t>
  </si>
  <si>
    <t>Kyndryl Holdings Inc  Com</t>
  </si>
  <si>
    <t>KD-US</t>
  </si>
  <si>
    <t>Jazz Pharmaceuticals Plc  Ord</t>
  </si>
  <si>
    <t>JAZZ-US</t>
  </si>
  <si>
    <t>Brown Forman Corp  Cl B Nvtg</t>
  </si>
  <si>
    <t>BF.B-US</t>
  </si>
  <si>
    <t>Haemonetics Corp  Com</t>
  </si>
  <si>
    <t>HAE-US</t>
  </si>
  <si>
    <t>Brown Forman Corp  Cl A Com</t>
  </si>
  <si>
    <t>BF.A-US</t>
  </si>
  <si>
    <t>Hilltop Holdings Inc  Com</t>
  </si>
  <si>
    <t>HTH-US</t>
  </si>
  <si>
    <t>Ready Capital Corp  Com</t>
  </si>
  <si>
    <t>RC-US</t>
  </si>
  <si>
    <t>Greenlight Capital Re Ltd  Ord A</t>
  </si>
  <si>
    <t>GLRE-US</t>
  </si>
  <si>
    <t>Enhabit Inc  Com</t>
  </si>
  <si>
    <t>EHAB-US</t>
  </si>
  <si>
    <t>Booz Allen Hamilton Hldg Corp  Cl A</t>
  </si>
  <si>
    <t>BAH-US</t>
  </si>
  <si>
    <t>Vf Corp  Com</t>
  </si>
  <si>
    <t>VFC-US</t>
  </si>
  <si>
    <t>Spok Holdings Inc  Com</t>
  </si>
  <si>
    <t>SPOK-US</t>
  </si>
  <si>
    <t>Columbus Mckinnon Corp  Com</t>
  </si>
  <si>
    <t>CMCO-US</t>
  </si>
  <si>
    <t>Petco Health &amp; Wellness Co Inc  Cl A</t>
  </si>
  <si>
    <t>WOOF-US</t>
  </si>
  <si>
    <t>Sharkninja Inc  Com</t>
  </si>
  <si>
    <t>SN-US</t>
  </si>
  <si>
    <t>Grindr Inc  Com</t>
  </si>
  <si>
    <t>GRND-US</t>
  </si>
  <si>
    <t>Advanced Drainage Systems Inc  Com</t>
  </si>
  <si>
    <t>WMS-US</t>
  </si>
  <si>
    <t>Cra International Inc  Com</t>
  </si>
  <si>
    <t>CRAI-US</t>
  </si>
  <si>
    <t>Ennis Inc  Com</t>
  </si>
  <si>
    <t>EBF-US</t>
  </si>
  <si>
    <t>Park Aerospace Corp  Com</t>
  </si>
  <si>
    <t>PKE-US</t>
  </si>
  <si>
    <t>Constellation Brands Inc  Cl A</t>
  </si>
  <si>
    <t>STZ-US</t>
  </si>
  <si>
    <t>F&amp;G Annuities &amp; Life Inc  Com</t>
  </si>
  <si>
    <t>FG-US</t>
  </si>
  <si>
    <t>Autodesk Inc  Com</t>
  </si>
  <si>
    <t>ADSK-US</t>
  </si>
  <si>
    <t>Alcoa Corp  Com</t>
  </si>
  <si>
    <t>AA-US</t>
  </si>
  <si>
    <t>Uranium Energy Corp  Com</t>
  </si>
  <si>
    <t>UEC-US</t>
  </si>
  <si>
    <t>Blink Charging Co  Com</t>
  </si>
  <si>
    <t>BLNK-US</t>
  </si>
  <si>
    <t>Burke Herbert Financial Service  Com</t>
  </si>
  <si>
    <t>BHRB-US</t>
  </si>
  <si>
    <t>Planet Labs Pbc  Cl A</t>
  </si>
  <si>
    <t>PL-US</t>
  </si>
  <si>
    <t>Verint Systems Inc  Com</t>
  </si>
  <si>
    <t>VRNT-US</t>
  </si>
  <si>
    <t>Steelcase Inc  Cl A</t>
  </si>
  <si>
    <t>SCS-US</t>
  </si>
  <si>
    <t>Azz Inc  Com</t>
  </si>
  <si>
    <t>AZZ-US</t>
  </si>
  <si>
    <t>Chargepoint Holdings Inc  Cl A</t>
  </si>
  <si>
    <t>CHPT-US</t>
  </si>
  <si>
    <t>Anika Therapeutics Inc  Com</t>
  </si>
  <si>
    <t>ANIK-US</t>
  </si>
  <si>
    <t>Precigen Inc  Com</t>
  </si>
  <si>
    <t>PGEN-US</t>
  </si>
  <si>
    <t>Snowflake Inc  Cl A</t>
  </si>
  <si>
    <t>SNOW-US</t>
  </si>
  <si>
    <t>Box Inc  Cl A</t>
  </si>
  <si>
    <t>BOX-US</t>
  </si>
  <si>
    <t>Alight Inc  Cl A</t>
  </si>
  <si>
    <t>ALIT-US</t>
  </si>
  <si>
    <t>Signet Jewelers Ltd  Com</t>
  </si>
  <si>
    <t>SIG-US</t>
  </si>
  <si>
    <t>Apartment Invt &amp; Mgmt  Cl A</t>
  </si>
  <si>
    <t>AIV-US</t>
  </si>
  <si>
    <t>E2Open Parent Holdings Inc  Cl A</t>
  </si>
  <si>
    <t>ETWO-US</t>
  </si>
  <si>
    <t>Ocugen Inc  Com</t>
  </si>
  <si>
    <t>OCGN-US</t>
  </si>
  <si>
    <t>Salesforce Inc  Com</t>
  </si>
  <si>
    <t>CRM-US</t>
  </si>
  <si>
    <t>Kroger Co  Com</t>
  </si>
  <si>
    <t>KR-US</t>
  </si>
  <si>
    <t>Dell Technologies Inc  Cl C</t>
  </si>
  <si>
    <t>DELL-US</t>
  </si>
  <si>
    <t>Healthequity Inc  Com</t>
  </si>
  <si>
    <t>HQY-US</t>
  </si>
  <si>
    <t>Rh  Com</t>
  </si>
  <si>
    <t>RH-US</t>
  </si>
  <si>
    <t>Sentinelone Inc  Cl A</t>
  </si>
  <si>
    <t>S-US</t>
  </si>
  <si>
    <t>Mara Holdings Inc  Com</t>
  </si>
  <si>
    <t>MARA-US</t>
  </si>
  <si>
    <t>Scholar Rock Holding Corp  Com</t>
  </si>
  <si>
    <t>SRRK-US</t>
  </si>
  <si>
    <t>American Eagle Outfitters Inc  Com</t>
  </si>
  <si>
    <t>AEO-US</t>
  </si>
  <si>
    <t>Braze Inc  Cl A</t>
  </si>
  <si>
    <t>BRZE-US</t>
  </si>
  <si>
    <t>Zuora Inc  Cl A</t>
  </si>
  <si>
    <t>ZUO-US</t>
  </si>
  <si>
    <t>Plymouth Industrial Reit Inc  Com</t>
  </si>
  <si>
    <t>PLYM-US</t>
  </si>
  <si>
    <t>Patria Investments Ltd  Cl A</t>
  </si>
  <si>
    <t>PAX-US</t>
  </si>
  <si>
    <t>Standard Biotools Inc  Com</t>
  </si>
  <si>
    <t>LAB-US</t>
  </si>
  <si>
    <t>Genesco Inc  Com</t>
  </si>
  <si>
    <t>GCO-US</t>
  </si>
  <si>
    <t>Nvidia Corp  Com</t>
  </si>
  <si>
    <t>NVDA-US</t>
  </si>
  <si>
    <t>Robinhood Markets Inc  Cl A</t>
  </si>
  <si>
    <t>HOOD-US</t>
  </si>
  <si>
    <t>United Therapeutics Corp  Com</t>
  </si>
  <si>
    <t>UTHR-US</t>
  </si>
  <si>
    <t>Core &amp; Main Inc  Cl A</t>
  </si>
  <si>
    <t>CNM-US</t>
  </si>
  <si>
    <t>Allegiant Travel Co  Com</t>
  </si>
  <si>
    <t>ALGT-US</t>
  </si>
  <si>
    <t>Janux Therapeutics Inc  Com</t>
  </si>
  <si>
    <t>JANX-US</t>
  </si>
  <si>
    <t>Phreesia Inc  Com</t>
  </si>
  <si>
    <t>PHR-US</t>
  </si>
  <si>
    <t>Cullinan Therapeutics Inc  Com</t>
  </si>
  <si>
    <t>CGEM-US</t>
  </si>
  <si>
    <t>Ramaco Resources Inc  Cl A</t>
  </si>
  <si>
    <t>METC-US</t>
  </si>
  <si>
    <t>Ramaco Resources Inc  Cl B</t>
  </si>
  <si>
    <t>METCB-US</t>
  </si>
  <si>
    <t>Expedia Group Inc  Com</t>
  </si>
  <si>
    <t>EXPE-US</t>
  </si>
  <si>
    <t>Mongodb Inc  Cl A</t>
  </si>
  <si>
    <t>MDB-US</t>
  </si>
  <si>
    <t>Carmax Inc  Com</t>
  </si>
  <si>
    <t>KMX-US</t>
  </si>
  <si>
    <t>Madrigal Pharmaceuticals Inc  Com</t>
  </si>
  <si>
    <t>MDGL-US</t>
  </si>
  <si>
    <t>Hashicorp Inc  Cl A</t>
  </si>
  <si>
    <t>HCP-US</t>
  </si>
  <si>
    <t>Oxford Industries Inc  Com</t>
  </si>
  <si>
    <t>OXM-US</t>
  </si>
  <si>
    <t>Si Bone Inc  Com</t>
  </si>
  <si>
    <t>SIBN-US</t>
  </si>
  <si>
    <t>Shoe Carnival Inc  Com</t>
  </si>
  <si>
    <t>SCVL-US</t>
  </si>
  <si>
    <t>Apollo Global Management Inc  Com</t>
  </si>
  <si>
    <t>APO-US</t>
  </si>
  <si>
    <t>Janus International Group Inc  Com</t>
  </si>
  <si>
    <t>JBI-US</t>
  </si>
  <si>
    <t>New York Mortgage Trust Inc  Com</t>
  </si>
  <si>
    <t>NYMT-US</t>
  </si>
  <si>
    <t>Match Group Inc  Com</t>
  </si>
  <si>
    <t>MTCH-US</t>
  </si>
  <si>
    <t>Bridgebio Pharma Inc  Com</t>
  </si>
  <si>
    <t>BBIO-US</t>
  </si>
  <si>
    <t>Blackstone Mortgage Trust Inc  Cl A</t>
  </si>
  <si>
    <t>BXMT-US</t>
  </si>
  <si>
    <t>Archer Aviation Inc  Cl A</t>
  </si>
  <si>
    <t>ACHR-US</t>
  </si>
  <si>
    <t>Hut 8 Corp  Com</t>
  </si>
  <si>
    <t>HUT-CA</t>
  </si>
  <si>
    <t>Vicor Corp  Com</t>
  </si>
  <si>
    <t>VICR-US</t>
  </si>
  <si>
    <t>Arlo Technologies Inc  Com</t>
  </si>
  <si>
    <t>ARLO-US</t>
  </si>
  <si>
    <t>Ouster Inc  Cl A</t>
  </si>
  <si>
    <t>OUST-US</t>
  </si>
  <si>
    <t>Miller Industries Inc Tenn  Com</t>
  </si>
  <si>
    <t>MLR-US</t>
  </si>
  <si>
    <t>International Money Express Inc  Com</t>
  </si>
  <si>
    <t>IMXI-US</t>
  </si>
  <si>
    <t>Playags Inc  Com</t>
  </si>
  <si>
    <t>AGS-US</t>
  </si>
  <si>
    <t>On24 Inc  Com</t>
  </si>
  <si>
    <t>ONTF-US</t>
  </si>
  <si>
    <t>Atea Pharmaceuticals Inc  Com</t>
  </si>
  <si>
    <t>AVIR-US</t>
  </si>
  <si>
    <t>Zentalis Pharmaceuticals Inc  Com</t>
  </si>
  <si>
    <t>ZNTL-US</t>
  </si>
  <si>
    <t>B Riley Financial Inc  Com</t>
  </si>
  <si>
    <t>RILY-US</t>
  </si>
  <si>
    <t>Marvell Technology Inc  Com</t>
  </si>
  <si>
    <t>MRVL-US</t>
  </si>
  <si>
    <t>Doordash Inc  Cl A</t>
  </si>
  <si>
    <t>DASH-US</t>
  </si>
  <si>
    <t>Delta Air Lines Inc  Com</t>
  </si>
  <si>
    <t>DAL-US</t>
  </si>
  <si>
    <t>Ebay Inc  Com</t>
  </si>
  <si>
    <t>EBAY-US</t>
  </si>
  <si>
    <t>Equity Residential  Sbi</t>
  </si>
  <si>
    <t>EQR-US</t>
  </si>
  <si>
    <t>Biogen Inc  Com</t>
  </si>
  <si>
    <t>BIIB-US</t>
  </si>
  <si>
    <t>Dollar Tree Inc  Com</t>
  </si>
  <si>
    <t>DLTR-US</t>
  </si>
  <si>
    <t>Okta Inc  Cl A</t>
  </si>
  <si>
    <t>OKTA-US</t>
  </si>
  <si>
    <t>Bjs Wholesale Club Holdings Inc  Com</t>
  </si>
  <si>
    <t>BJ-US</t>
  </si>
  <si>
    <t>Cava Group Inc  Com</t>
  </si>
  <si>
    <t>CAVA-US</t>
  </si>
  <si>
    <t>Universal Display Corp  Com</t>
  </si>
  <si>
    <t>OLED-US</t>
  </si>
  <si>
    <t>Exlservice Holdings Inc  Com</t>
  </si>
  <si>
    <t>EXLS-US</t>
  </si>
  <si>
    <t>Revolution Medicines Inc  Com</t>
  </si>
  <si>
    <t>RVMD-US</t>
  </si>
  <si>
    <t>Uipath Inc  Cl A</t>
  </si>
  <si>
    <t>PATH-US</t>
  </si>
  <si>
    <t>Pvh Corp  Com</t>
  </si>
  <si>
    <t>PVH-US</t>
  </si>
  <si>
    <t>Balchem Corp  Com</t>
  </si>
  <si>
    <t>BCPC-US</t>
  </si>
  <si>
    <t>Gates Industrial Corp Plc  Com</t>
  </si>
  <si>
    <t>GTES-US</t>
  </si>
  <si>
    <t>Pjt Partners Inc  Cl A</t>
  </si>
  <si>
    <t>PJT-US</t>
  </si>
  <si>
    <t>Ncino Inc  Com</t>
  </si>
  <si>
    <t>NCNO-US</t>
  </si>
  <si>
    <t>Protagonist Therapeutics Inc  Com</t>
  </si>
  <si>
    <t>PTGX-US</t>
  </si>
  <si>
    <t>Argan Inc  Com</t>
  </si>
  <si>
    <t>AGX-US</t>
  </si>
  <si>
    <t>Agios Pharmaceuticals Inc  Com</t>
  </si>
  <si>
    <t>AGIO-US</t>
  </si>
  <si>
    <t>Avidxchange Holdings Inc  Com</t>
  </si>
  <si>
    <t>AVDX-US</t>
  </si>
  <si>
    <t>Apogee Enterprises Inc  Com</t>
  </si>
  <si>
    <t>APOG-US</t>
  </si>
  <si>
    <t>Genedx Holdings Corp  Cl A</t>
  </si>
  <si>
    <t>WGS-US</t>
  </si>
  <si>
    <t>Sjw Group  Com</t>
  </si>
  <si>
    <t>SJW-US</t>
  </si>
  <si>
    <t>Staar Surgical Co  Com</t>
  </si>
  <si>
    <t>STAA-US</t>
  </si>
  <si>
    <t>Dave &amp; Busters Entertainment  Com</t>
  </si>
  <si>
    <t>PLAY-US</t>
  </si>
  <si>
    <t>Centrus Energy  Cl A</t>
  </si>
  <si>
    <t>LEU-US</t>
  </si>
  <si>
    <t>Liquidia Corp  Com</t>
  </si>
  <si>
    <t>LQDA-US</t>
  </si>
  <si>
    <t>Olo Inc  Cl A</t>
  </si>
  <si>
    <t>OLO-US</t>
  </si>
  <si>
    <t>Ars Pharmaceuticals Inc  Com</t>
  </si>
  <si>
    <t>SPRY-US</t>
  </si>
  <si>
    <t>Adapthealth Corp  Cl A</t>
  </si>
  <si>
    <t>AHCO-US</t>
  </si>
  <si>
    <t>Erasca Inc  Com</t>
  </si>
  <si>
    <t>ERAS-US</t>
  </si>
  <si>
    <t>Iradimed Corp  Com</t>
  </si>
  <si>
    <t>IRMD-US</t>
  </si>
  <si>
    <t>Brookfield Business Corp  Sub Vtg A</t>
  </si>
  <si>
    <t>BBUC-CA</t>
  </si>
  <si>
    <t>Cto Realty Growth Inc  Com</t>
  </si>
  <si>
    <t>CTO-US</t>
  </si>
  <si>
    <t>Evercommerce Inc  Com</t>
  </si>
  <si>
    <t>EVCM-US</t>
  </si>
  <si>
    <t>Chromadex Corp  Com</t>
  </si>
  <si>
    <t>CDXC-US</t>
  </si>
  <si>
    <t>Aquestive Therapeutics Inc  Com</t>
  </si>
  <si>
    <t>AQST-US</t>
  </si>
  <si>
    <t>Eyepoint Pharmaceuticals Inc  Com</t>
  </si>
  <si>
    <t>EYPT-US</t>
  </si>
  <si>
    <t>Designer Brands Inc  Cl A</t>
  </si>
  <si>
    <t>DBI-US</t>
  </si>
  <si>
    <t>Organogenesis Holdings Inc  Cl A</t>
  </si>
  <si>
    <t>ORGO-US</t>
  </si>
  <si>
    <t>Movado Group Inc  Com</t>
  </si>
  <si>
    <t>MOV-US</t>
  </si>
  <si>
    <t>C4 Therapeutics Inc  Com</t>
  </si>
  <si>
    <t>CCCC-US</t>
  </si>
  <si>
    <t>Aura Biosciences Inc  Com</t>
  </si>
  <si>
    <t>AURA-US</t>
  </si>
  <si>
    <t>Growgeneration Corp  Com</t>
  </si>
  <si>
    <t>GRWG-US</t>
  </si>
  <si>
    <t>Tucows Inc  Com</t>
  </si>
  <si>
    <t>TCX-US</t>
  </si>
  <si>
    <t>Pepgen Inc  Com</t>
  </si>
  <si>
    <t>PEPG-US</t>
  </si>
  <si>
    <t>Century Therapeutics Inc  Com</t>
  </si>
  <si>
    <t>IPSC-US</t>
  </si>
  <si>
    <t>Vertiv Holdings Co  Cl A</t>
  </si>
  <si>
    <t>VRT-US</t>
  </si>
  <si>
    <t>Cannae Holdings Inc  Com</t>
  </si>
  <si>
    <t>CNNE-US</t>
  </si>
  <si>
    <t>Medifast Inc  Com</t>
  </si>
  <si>
    <t>MED-US</t>
  </si>
  <si>
    <t>Mastercard Inc  Cl A</t>
  </si>
  <si>
    <t>MA-US</t>
  </si>
  <si>
    <t>Crowdstrike Holdings Inc  Cl A</t>
  </si>
  <si>
    <t>CRWD-US</t>
  </si>
  <si>
    <t>Workday Inc  Cl A</t>
  </si>
  <si>
    <t>WDAY-US</t>
  </si>
  <si>
    <t>Block Inc  Cl A</t>
  </si>
  <si>
    <t>SQ-US</t>
  </si>
  <si>
    <t>Metlife Inc  Com</t>
  </si>
  <si>
    <t>MET-US</t>
  </si>
  <si>
    <t>Rivian Automotive Inc  Cl A</t>
  </si>
  <si>
    <t>RIVN-US</t>
  </si>
  <si>
    <t>Evercore Inc  Cl A</t>
  </si>
  <si>
    <t>EVR-US</t>
  </si>
  <si>
    <t>Smartsheet Inc  Cl A</t>
  </si>
  <si>
    <t>SMAR-US</t>
  </si>
  <si>
    <t>Slm Corp  Com</t>
  </si>
  <si>
    <t>SLM-US</t>
  </si>
  <si>
    <t>Nexstar Media Group Inc  Cl A</t>
  </si>
  <si>
    <t>NXST-US</t>
  </si>
  <si>
    <t>Brookfield Infrastru  Exch Sub Vtg A</t>
  </si>
  <si>
    <t>BIPC-CA</t>
  </si>
  <si>
    <t>Pegasystems Inc  Com</t>
  </si>
  <si>
    <t>PEGA-US</t>
  </si>
  <si>
    <t>Ultragenyx Pharmaceutical Inc  Com</t>
  </si>
  <si>
    <t>RARE-US</t>
  </si>
  <si>
    <t>Rigetti Computing Inc  Com</t>
  </si>
  <si>
    <t>RGTI-US</t>
  </si>
  <si>
    <t>Ptc Therapeutics Inc  Com</t>
  </si>
  <si>
    <t>PTCT-US</t>
  </si>
  <si>
    <t>Zeta Global Holdings Corp  Cl A</t>
  </si>
  <si>
    <t>ZETA-US</t>
  </si>
  <si>
    <t>Rhythm Pharmaceuticals Inc  Com</t>
  </si>
  <si>
    <t>RYTM-US</t>
  </si>
  <si>
    <t>Ipg Photonics Corp  Com</t>
  </si>
  <si>
    <t>IPGP-US</t>
  </si>
  <si>
    <t>Sunrun Inc  Com</t>
  </si>
  <si>
    <t>RUN-US</t>
  </si>
  <si>
    <t>Kymera Therapeutics Inc  Com</t>
  </si>
  <si>
    <t>KYMR-US</t>
  </si>
  <si>
    <t>Fubotv Inc  Com</t>
  </si>
  <si>
    <t>FUBO-US</t>
  </si>
  <si>
    <t>Rocket Cos Inc  Cl A</t>
  </si>
  <si>
    <t>RKT-US</t>
  </si>
  <si>
    <t>Xometry Inc  Cl A</t>
  </si>
  <si>
    <t>XMTR-US</t>
  </si>
  <si>
    <t>G Iii Apparel Group Ltd  Com</t>
  </si>
  <si>
    <t>GIII-US</t>
  </si>
  <si>
    <t>Schrodinger Inc  Com</t>
  </si>
  <si>
    <t>SDGR-US</t>
  </si>
  <si>
    <t>Enliven Therapeutics Inc  Com</t>
  </si>
  <si>
    <t>ELVN-US</t>
  </si>
  <si>
    <t>Nv5 Global Inc  Com</t>
  </si>
  <si>
    <t>NVEE-US</t>
  </si>
  <si>
    <t>Anavex Life Sciences Corp  Com</t>
  </si>
  <si>
    <t>AVXL-US</t>
  </si>
  <si>
    <t>Brookdale Senior Living Inc  Com</t>
  </si>
  <si>
    <t>BKD-US</t>
  </si>
  <si>
    <t>Bjs Restaurants Inc  Com</t>
  </si>
  <si>
    <t>BJRI-US</t>
  </si>
  <si>
    <t>Pdf Solutions Inc  Com</t>
  </si>
  <si>
    <t>PDFS-US</t>
  </si>
  <si>
    <t>Krispy Kreme Inc  Com</t>
  </si>
  <si>
    <t>DNUT-US</t>
  </si>
  <si>
    <t>Ironwood Pharmaceuticals Inc  Cl A</t>
  </si>
  <si>
    <t>IRWD-US</t>
  </si>
  <si>
    <t>Baycom Corp  Com</t>
  </si>
  <si>
    <t>BCML-US</t>
  </si>
  <si>
    <t>Orthofix Medical Inc  Com</t>
  </si>
  <si>
    <t>OFIX-US</t>
  </si>
  <si>
    <t>Pacific Biosciences Of Ca Inc  Com</t>
  </si>
  <si>
    <t>PACB-US</t>
  </si>
  <si>
    <t>John Marshall Bancorp Inc  Com</t>
  </si>
  <si>
    <t>JMSB-US</t>
  </si>
  <si>
    <t>Performant Healthcare Inc  Com</t>
  </si>
  <si>
    <t>PHLT-US</t>
  </si>
  <si>
    <t>Docgo Inc  Cl A</t>
  </si>
  <si>
    <t>DCGO-US</t>
  </si>
  <si>
    <t>Nextdoor Holdings Inc  Cl A</t>
  </si>
  <si>
    <t>KIND-US</t>
  </si>
  <si>
    <t>Peakstone Realty Trust  Com</t>
  </si>
  <si>
    <t>PKST-US</t>
  </si>
  <si>
    <t>Omniab Inc  Com</t>
  </si>
  <si>
    <t>OABI-US</t>
  </si>
  <si>
    <t>Inozyme Pharma Inc  Com</t>
  </si>
  <si>
    <t>INZY-US</t>
  </si>
  <si>
    <t>Homestreet Inc  Com</t>
  </si>
  <si>
    <t>HMST-US</t>
  </si>
  <si>
    <t>Atn International Inc  Com</t>
  </si>
  <si>
    <t>ATNI-US</t>
  </si>
  <si>
    <t>Asana Inc  Cl A</t>
  </si>
  <si>
    <t>ASAN-US</t>
  </si>
  <si>
    <t>Viridian Therapeutics Inc  Com</t>
  </si>
  <si>
    <t>VRDN-US</t>
  </si>
  <si>
    <t>Innoviva Inc  Com</t>
  </si>
  <si>
    <t>INVA-US</t>
  </si>
  <si>
    <t>Bank First Corp  Com</t>
  </si>
  <si>
    <t>BFC-US</t>
  </si>
  <si>
    <t>Poseida Therapeutics Inc  Com</t>
  </si>
  <si>
    <t>PSTX-US</t>
  </si>
  <si>
    <t>Fulcrum Therapeutics Inc  Com</t>
  </si>
  <si>
    <t>FULC-US</t>
  </si>
  <si>
    <t>Regeneron Pharmaceuticals  Com</t>
  </si>
  <si>
    <t>REGN-US</t>
  </si>
  <si>
    <t>Fortinet Inc  Com</t>
  </si>
  <si>
    <t>FTNT-US</t>
  </si>
  <si>
    <t>Coinbase Global Inc  Cl A</t>
  </si>
  <si>
    <t>COIN-US</t>
  </si>
  <si>
    <t>Intra Cellular Therapies Inc  Com</t>
  </si>
  <si>
    <t>ITCI-US</t>
  </si>
  <si>
    <t>Api Group Corp  Com</t>
  </si>
  <si>
    <t>APG-US</t>
  </si>
  <si>
    <t>Appfolio Inc  Cl A</t>
  </si>
  <si>
    <t>APPF-US</t>
  </si>
  <si>
    <t>Joby Aviation Inc  Com</t>
  </si>
  <si>
    <t>JOBY-US</t>
  </si>
  <si>
    <t>Tg Therapeutics Inc  Com</t>
  </si>
  <si>
    <t>TGTX-US</t>
  </si>
  <si>
    <t>Artisan Partners Asset Mgmt  Cl A</t>
  </si>
  <si>
    <t>APAM-US</t>
  </si>
  <si>
    <t>Supernus Pharmaceuticals Inc  Com</t>
  </si>
  <si>
    <t>SUPN-US</t>
  </si>
  <si>
    <t>Ligand Pharmaceuticals Inc  Cl B</t>
  </si>
  <si>
    <t>LGND-US</t>
  </si>
  <si>
    <t>Summit Therapeutics Inc  Com</t>
  </si>
  <si>
    <t>SMMT-US</t>
  </si>
  <si>
    <t>Arcutis Biotherapeutics Inc  Com</t>
  </si>
  <si>
    <t>ARQT-US</t>
  </si>
  <si>
    <t>Aurinia Pharmaceuticals Inc  Com</t>
  </si>
  <si>
    <t>AUPH-US</t>
  </si>
  <si>
    <t>Ardelyx Inc  Com</t>
  </si>
  <si>
    <t>ARDX-US</t>
  </si>
  <si>
    <t>Opendoor Technologies Inc  Com</t>
  </si>
  <si>
    <t>OPEN-US</t>
  </si>
  <si>
    <t>Harrow Inc  Com</t>
  </si>
  <si>
    <t>HROW-US</t>
  </si>
  <si>
    <t>Dxp Enterprises Inc  Com</t>
  </si>
  <si>
    <t>DXPE-US</t>
  </si>
  <si>
    <t>Arcturus Therapeutics Holdings  Com</t>
  </si>
  <si>
    <t>ARCT-US</t>
  </si>
  <si>
    <t>Gigacloud Technology Inc  Cl A</t>
  </si>
  <si>
    <t>GCT-US</t>
  </si>
  <si>
    <t>P10 Inc  Cl A</t>
  </si>
  <si>
    <t>PX-US</t>
  </si>
  <si>
    <t>Service Properties Trust  Sbi</t>
  </si>
  <si>
    <t>SVC-US</t>
  </si>
  <si>
    <t>Neurogene Inc  Com</t>
  </si>
  <si>
    <t>NGNE-US</t>
  </si>
  <si>
    <t>Newtekone Inc  Com</t>
  </si>
  <si>
    <t>NEWT-US</t>
  </si>
  <si>
    <t>W&amp;T Offshore Inc  Com</t>
  </si>
  <si>
    <t>WTI-US</t>
  </si>
  <si>
    <t>Lyell Immunopharma Inc  Com</t>
  </si>
  <si>
    <t>LYEL-US</t>
  </si>
  <si>
    <t>Tesla Inc  Com</t>
  </si>
  <si>
    <t>TSLA-US</t>
  </si>
  <si>
    <t>Monster Beverage Corp  Com</t>
  </si>
  <si>
    <t>MNST-US</t>
  </si>
  <si>
    <t>Ingersoll Rand Inc  Com</t>
  </si>
  <si>
    <t>IR-US</t>
  </si>
  <si>
    <t>Monolithic Power Systems Inc  Com</t>
  </si>
  <si>
    <t>MPWR-US</t>
  </si>
  <si>
    <t>Coupang Inc  Cl A</t>
  </si>
  <si>
    <t>CPNG-US</t>
  </si>
  <si>
    <t>Zoom Communications Inc  Cl A</t>
  </si>
  <si>
    <t>ZM-US</t>
  </si>
  <si>
    <t>Live Nation Entertainment Inc  Com</t>
  </si>
  <si>
    <t>LYV-US</t>
  </si>
  <si>
    <t>Gaming &amp; Leisure Properties Inc  Com</t>
  </si>
  <si>
    <t>GLPI-US</t>
  </si>
  <si>
    <t>Blue Owl Capital Inc  Cl A</t>
  </si>
  <si>
    <t>OWL-US</t>
  </si>
  <si>
    <t>Gamestop Corp  Cl A</t>
  </si>
  <si>
    <t>GME-US</t>
  </si>
  <si>
    <t>Carey W P Inc  Com</t>
  </si>
  <si>
    <t>WPC-US</t>
  </si>
  <si>
    <t>Norwegian Cruise Line Holdings  Com</t>
  </si>
  <si>
    <t>NCLH-US</t>
  </si>
  <si>
    <t>Exact Sciences Corp  Com</t>
  </si>
  <si>
    <t>EXAS-US</t>
  </si>
  <si>
    <t>Generac Holdings Inc  Com</t>
  </si>
  <si>
    <t>GNRC-US</t>
  </si>
  <si>
    <t>Matador Resources Co  Com</t>
  </si>
  <si>
    <t>MTDR-US</t>
  </si>
  <si>
    <t>Ollies Bargain Outlet Hldgs Inc  Com</t>
  </si>
  <si>
    <t>OLLI-US</t>
  </si>
  <si>
    <t>Etsy Inc  Com</t>
  </si>
  <si>
    <t>ETSY-US</t>
  </si>
  <si>
    <t>Armstrong World Industries Inc  Com</t>
  </si>
  <si>
    <t>AWI-US</t>
  </si>
  <si>
    <t>Lyft Inc  Cl A</t>
  </si>
  <si>
    <t>LYFT-US</t>
  </si>
  <si>
    <t>Sabra Health Care Reit Inc  Com</t>
  </si>
  <si>
    <t>SBRA-US</t>
  </si>
  <si>
    <t>Asgn Inc  Com</t>
  </si>
  <si>
    <t>ASGN-US</t>
  </si>
  <si>
    <t>Avidity Biosciences Inc  Com</t>
  </si>
  <si>
    <t>RNA-US</t>
  </si>
  <si>
    <t>Sweetgreen Inc  Cl A</t>
  </si>
  <si>
    <t>SG-US</t>
  </si>
  <si>
    <t>Victorias Secret &amp; Co  Com</t>
  </si>
  <si>
    <t>VSCO-US</t>
  </si>
  <si>
    <t>Yelp Inc  Com</t>
  </si>
  <si>
    <t>YELP-US</t>
  </si>
  <si>
    <t>Rapid7 Inc  Com</t>
  </si>
  <si>
    <t>RPD-US</t>
  </si>
  <si>
    <t>Clear Secure Inc  Cl A</t>
  </si>
  <si>
    <t>YOU-US</t>
  </si>
  <si>
    <t>United Parks &amp; Resorts Inc  Com</t>
  </si>
  <si>
    <t>PRKS-US</t>
  </si>
  <si>
    <t>Tarsus Pharmaceuticals Inc  Com</t>
  </si>
  <si>
    <t>TARS-US</t>
  </si>
  <si>
    <t>Marqeta Inc  Cl A</t>
  </si>
  <si>
    <t>MQ-US</t>
  </si>
  <si>
    <t>Enovix Corp  Com</t>
  </si>
  <si>
    <t>ENVX-US</t>
  </si>
  <si>
    <t>Pagerduty Inc  Com</t>
  </si>
  <si>
    <t>PD-US</t>
  </si>
  <si>
    <t>Celldex Therapeutics Inc  Com</t>
  </si>
  <si>
    <t>CLDX-US</t>
  </si>
  <si>
    <t>Novavax Inc  Com</t>
  </si>
  <si>
    <t>NVAX-US</t>
  </si>
  <si>
    <t>Limbach Holdings Inc  Com</t>
  </si>
  <si>
    <t>LMB-US</t>
  </si>
  <si>
    <t>Xencor Inc  Com</t>
  </si>
  <si>
    <t>XNCR-US</t>
  </si>
  <si>
    <t>Caredx Inc  Com</t>
  </si>
  <si>
    <t>CDNA-US</t>
  </si>
  <si>
    <t>Sprinklr Inc  Cl A</t>
  </si>
  <si>
    <t>CXM-US</t>
  </si>
  <si>
    <t>Acm Research Inc  Cl A</t>
  </si>
  <si>
    <t>ACMR-US</t>
  </si>
  <si>
    <t>Rocket Pharmaceuticals Inc  Com</t>
  </si>
  <si>
    <t>RCKT-US</t>
  </si>
  <si>
    <t>Advansix Inc  Com</t>
  </si>
  <si>
    <t>ASIX-US</t>
  </si>
  <si>
    <t>Build A Bear Workshop Inc  Com</t>
  </si>
  <si>
    <t>BBW-US</t>
  </si>
  <si>
    <t>Pra Group Inc  Com</t>
  </si>
  <si>
    <t>PRAA-US</t>
  </si>
  <si>
    <t>Pliant Therapeutics Inc  Com</t>
  </si>
  <si>
    <t>PLRX-US</t>
  </si>
  <si>
    <t>Hamilton Insurance Group Ltd  Cl B</t>
  </si>
  <si>
    <t>HG-US</t>
  </si>
  <si>
    <t>Northwest Pipe Co  Com</t>
  </si>
  <si>
    <t>NWPX-US</t>
  </si>
  <si>
    <t>Moneylion Inc  Cl A</t>
  </si>
  <si>
    <t>ML-US</t>
  </si>
  <si>
    <t>Universal Insurance Hldgs Inc  Com</t>
  </si>
  <si>
    <t>UVE-US</t>
  </si>
  <si>
    <t>Talkspace Inc  Cl A</t>
  </si>
  <si>
    <t>TALK-US</t>
  </si>
  <si>
    <t>Indie Semiconductor Inc  Cl A</t>
  </si>
  <si>
    <t>INDI-US</t>
  </si>
  <si>
    <t>Entrada Therapeutics Inc  Com</t>
  </si>
  <si>
    <t>TRDA-US</t>
  </si>
  <si>
    <t>Chicago Atlantic Real Estate  Com</t>
  </si>
  <si>
    <t>REFI-US</t>
  </si>
  <si>
    <t>Faro Technologies Inc  Com</t>
  </si>
  <si>
    <t>FARO-US</t>
  </si>
  <si>
    <t>Thryv Holdings Inc  Com</t>
  </si>
  <si>
    <t>THRY-US</t>
  </si>
  <si>
    <t>Climb Global (Wayside) Solution  Com</t>
  </si>
  <si>
    <t>CLMB-US</t>
  </si>
  <si>
    <t>Health Catalyst Inc  Com</t>
  </si>
  <si>
    <t>HCAT-US</t>
  </si>
  <si>
    <t>Custom Truck One Source Inc  Com</t>
  </si>
  <si>
    <t>CTOS-US</t>
  </si>
  <si>
    <t>Enfusion Inc  Cl A</t>
  </si>
  <si>
    <t>ENFN-US</t>
  </si>
  <si>
    <t>Titan International Inc  Com</t>
  </si>
  <si>
    <t>TWI-US</t>
  </si>
  <si>
    <t>Willdan Group Inc  Com</t>
  </si>
  <si>
    <t>WLDN-US</t>
  </si>
  <si>
    <t>Olema Pharmaceuticals Inc  Com</t>
  </si>
  <si>
    <t>OLMA-US</t>
  </si>
  <si>
    <t>Design Therapeutics Inc  Com</t>
  </si>
  <si>
    <t>DSGN-US</t>
  </si>
  <si>
    <t>Compass Therapeutics Inc  Com</t>
  </si>
  <si>
    <t>CMPX-US</t>
  </si>
  <si>
    <t>Heron Therapeutics Inc  Com</t>
  </si>
  <si>
    <t>HRTX-US</t>
  </si>
  <si>
    <t>Piedmont Lithium Inc  Com</t>
  </si>
  <si>
    <t>PLL-US</t>
  </si>
  <si>
    <t>Cs Disco Inc  Com</t>
  </si>
  <si>
    <t>LAW-US</t>
  </si>
  <si>
    <t>Omega Flex Inc  Com</t>
  </si>
  <si>
    <t>OFLX-US</t>
  </si>
  <si>
    <t>Caribou Biosciences Inc  Com</t>
  </si>
  <si>
    <t>CRBU-US</t>
  </si>
  <si>
    <t>Outbrain Inc  Com</t>
  </si>
  <si>
    <t>OB-US</t>
  </si>
  <si>
    <t>Nkarta Inc  Com</t>
  </si>
  <si>
    <t>NKTX-US</t>
  </si>
  <si>
    <t>908 Devices Inc  Com</t>
  </si>
  <si>
    <t>MASS-US</t>
  </si>
  <si>
    <t>Caterpillar Inc  Com</t>
  </si>
  <si>
    <t>CAT-US</t>
  </si>
  <si>
    <t>T Mobile Us Inc  Com</t>
  </si>
  <si>
    <t>TMUS-US</t>
  </si>
  <si>
    <t>Target Corp  Com</t>
  </si>
  <si>
    <t>TGT-US</t>
  </si>
  <si>
    <t>Roper Technologies Inc  Com</t>
  </si>
  <si>
    <t>ROP-US</t>
  </si>
  <si>
    <t>Veeva Systems Inc  Cl A</t>
  </si>
  <si>
    <t>VEEV-US</t>
  </si>
  <si>
    <t>Pure Storage Inc  Cl A</t>
  </si>
  <si>
    <t>PSTG-US</t>
  </si>
  <si>
    <t>Natera Inc  Com</t>
  </si>
  <si>
    <t>NTRA-US</t>
  </si>
  <si>
    <t>Best Buy Inc  Com</t>
  </si>
  <si>
    <t>BBY-US</t>
  </si>
  <si>
    <t>W R Berkley Corp  Com</t>
  </si>
  <si>
    <t>WRB-US</t>
  </si>
  <si>
    <t>Fidelity National Finl  Fnf Grp Com</t>
  </si>
  <si>
    <t>FNF-US</t>
  </si>
  <si>
    <t>Dicks Sporting Goods Inc  Com</t>
  </si>
  <si>
    <t>DKS-US</t>
  </si>
  <si>
    <t>Duolingo Inc  Cl A</t>
  </si>
  <si>
    <t>DUOL-US</t>
  </si>
  <si>
    <t>Incyte Corp  Com</t>
  </si>
  <si>
    <t>INCY-US</t>
  </si>
  <si>
    <t>Tko Group Holdings Inc  Cl A</t>
  </si>
  <si>
    <t>TKO-US</t>
  </si>
  <si>
    <t>Rocket Lab Usa Inc  Cl A</t>
  </si>
  <si>
    <t>RKLB-US</t>
  </si>
  <si>
    <t>Western Alliance Bancorp  Com</t>
  </si>
  <si>
    <t>WAL-US</t>
  </si>
  <si>
    <t>Abercrombie &amp; Fitch Co  Cl A</t>
  </si>
  <si>
    <t>ANF-US</t>
  </si>
  <si>
    <t>Confluent Inc  Cl A</t>
  </si>
  <si>
    <t>CFLT-US</t>
  </si>
  <si>
    <t>Soundhound Ai Inc  Cl A</t>
  </si>
  <si>
    <t>SOUN-US</t>
  </si>
  <si>
    <t>Onemain Holdings Inc  Com</t>
  </si>
  <si>
    <t>OMF-US</t>
  </si>
  <si>
    <t>Blueprint Medicines Corp  Com</t>
  </si>
  <si>
    <t>BPMC-US</t>
  </si>
  <si>
    <t>Qualys Inc  Com</t>
  </si>
  <si>
    <t>QLYS-US</t>
  </si>
  <si>
    <t>Grand Canyon Education Inc  Com</t>
  </si>
  <si>
    <t>LOPE-US</t>
  </si>
  <si>
    <t>Radnet Inc  Com</t>
  </si>
  <si>
    <t>RDNT-US</t>
  </si>
  <si>
    <t>Shake Shack Inc  Cl A</t>
  </si>
  <si>
    <t>SHAK-US</t>
  </si>
  <si>
    <t>Dun &amp; Bradstreet Holdings Inc  Com</t>
  </si>
  <si>
    <t>DNB-US</t>
  </si>
  <si>
    <t>Firstcash Holdings Inc  Com</t>
  </si>
  <si>
    <t>FCFS-US</t>
  </si>
  <si>
    <t>Riot Platforms Inc  Com</t>
  </si>
  <si>
    <t>RIOT-US</t>
  </si>
  <si>
    <t>Remitly Global Inc  Com</t>
  </si>
  <si>
    <t>RELY-US</t>
  </si>
  <si>
    <t>Veracyte Inc  Com</t>
  </si>
  <si>
    <t>VCYT-US</t>
  </si>
  <si>
    <t>Blackbaud Inc  Com</t>
  </si>
  <si>
    <t>BLKB-US</t>
  </si>
  <si>
    <t>Vertex Inc  Cl A</t>
  </si>
  <si>
    <t>VERX-US</t>
  </si>
  <si>
    <t>Nuvalent Inc  Cl A</t>
  </si>
  <si>
    <t>NUVL-US</t>
  </si>
  <si>
    <t>Ambarella Inc  Com</t>
  </si>
  <si>
    <t>AMBA-US</t>
  </si>
  <si>
    <t>Valaris Ltd  Com</t>
  </si>
  <si>
    <t>VAL-US</t>
  </si>
  <si>
    <t>Magnite Inc  Com</t>
  </si>
  <si>
    <t>MGNI-US</t>
  </si>
  <si>
    <t>Addus Homecare Corp  Com</t>
  </si>
  <si>
    <t>ADUS-US</t>
  </si>
  <si>
    <t>Biocryst Pharmaceuticals  Com</t>
  </si>
  <si>
    <t>BCRX-US</t>
  </si>
  <si>
    <t>Ocular Therapeutix Inc  Com</t>
  </si>
  <si>
    <t>OCUL-US</t>
  </si>
  <si>
    <t>Wisdomtree Inc  Com</t>
  </si>
  <si>
    <t>WT-US</t>
  </si>
  <si>
    <t>Astrana Health Inc  Com</t>
  </si>
  <si>
    <t>ASTH-US</t>
  </si>
  <si>
    <t>Veris Residential Inc  Com</t>
  </si>
  <si>
    <t>VRE-US</t>
  </si>
  <si>
    <t>International Seaways  Com</t>
  </si>
  <si>
    <t>INSW-US</t>
  </si>
  <si>
    <t>Infinera Corp  Com</t>
  </si>
  <si>
    <t>INFN-US</t>
  </si>
  <si>
    <t>Vital Farms Inc  Com</t>
  </si>
  <si>
    <t>VITL-US</t>
  </si>
  <si>
    <t>Fastly Inc  Cl A</t>
  </si>
  <si>
    <t>FSLY-US</t>
  </si>
  <si>
    <t>Intellia Therapeutics In  Com</t>
  </si>
  <si>
    <t>NTLA-US</t>
  </si>
  <si>
    <t>Pennymac Mortgage Investment Tr  Com</t>
  </si>
  <si>
    <t>PMT-US</t>
  </si>
  <si>
    <t>Dht Holdings Inc  Com</t>
  </si>
  <si>
    <t>DHT-US</t>
  </si>
  <si>
    <t>Realreal Inc  Com</t>
  </si>
  <si>
    <t>REAL-US</t>
  </si>
  <si>
    <t>National Vision Holdings Inc  Com</t>
  </si>
  <si>
    <t>EYE-US</t>
  </si>
  <si>
    <t>Blend Labs Inc  Cl A</t>
  </si>
  <si>
    <t>BLND-US</t>
  </si>
  <si>
    <t>Stagwell Inc  Cl A</t>
  </si>
  <si>
    <t>STGW-US</t>
  </si>
  <si>
    <t>Alphatec Holdings Inc  Com</t>
  </si>
  <si>
    <t>ATEC-US</t>
  </si>
  <si>
    <t>Sun Country Airlines Hldgs Inc  Com</t>
  </si>
  <si>
    <t>SNCY-US</t>
  </si>
  <si>
    <t>Yext Inc  Com</t>
  </si>
  <si>
    <t>YEXT-US</t>
  </si>
  <si>
    <t>Lendingtree Inc  Com</t>
  </si>
  <si>
    <t>TREE-US</t>
  </si>
  <si>
    <t>Immunome Inc  Com</t>
  </si>
  <si>
    <t>IMNM-US</t>
  </si>
  <si>
    <t>Armada Hoffler Properties Inc  Com</t>
  </si>
  <si>
    <t>AHH-US</t>
  </si>
  <si>
    <t>Porch Group Inc  Com</t>
  </si>
  <si>
    <t>PRCH-US</t>
  </si>
  <si>
    <t>Oric Pharmaceuticals Inc  Com</t>
  </si>
  <si>
    <t>ORIC-US</t>
  </si>
  <si>
    <t>Consensus Cloud Solutions Inc  Com</t>
  </si>
  <si>
    <t>CCSI-US</t>
  </si>
  <si>
    <t>Sandridge Energy Inc  Com</t>
  </si>
  <si>
    <t>SD-US</t>
  </si>
  <si>
    <t>Absci Corp  Com</t>
  </si>
  <si>
    <t>ABSI-US</t>
  </si>
  <si>
    <t>Anaptysbio Inc  Com</t>
  </si>
  <si>
    <t>ANAB-US</t>
  </si>
  <si>
    <t>Getty Images Holdings Inc  Cl A</t>
  </si>
  <si>
    <t>GETY-US</t>
  </si>
  <si>
    <t>Monte Rosa Therapeutics Inc  Com</t>
  </si>
  <si>
    <t>GLUE-US</t>
  </si>
  <si>
    <t>Amc Networks Inc  Cl A</t>
  </si>
  <si>
    <t>AMCX-US</t>
  </si>
  <si>
    <t>Tscan Therapeutics Inc  Com</t>
  </si>
  <si>
    <t>TCRX-US</t>
  </si>
  <si>
    <t>Neumora Therapeutics Inc  Com</t>
  </si>
  <si>
    <t>NMRA-US</t>
  </si>
  <si>
    <t>Olaplex Holdings Inc  Com</t>
  </si>
  <si>
    <t>OLPX-US</t>
  </si>
  <si>
    <t>Forge Global Holdings Inc  Com</t>
  </si>
  <si>
    <t>FRGE-US</t>
  </si>
  <si>
    <t>Prime Medicine Inc  Com</t>
  </si>
  <si>
    <t>PRME-US</t>
  </si>
  <si>
    <t>Alector Inc  Com</t>
  </si>
  <si>
    <t>ALEC-US</t>
  </si>
  <si>
    <t>Virgin Galactic Holdings Inc  Com</t>
  </si>
  <si>
    <t>SPCE-US</t>
  </si>
  <si>
    <t>Biomea Fusion Inc  Com</t>
  </si>
  <si>
    <t>BMEA-US</t>
  </si>
  <si>
    <t>Alx Oncology Holdings Inc  Com</t>
  </si>
  <si>
    <t>ALXO-US</t>
  </si>
  <si>
    <t>Freeport Mcmoran Inc  Cl B</t>
  </si>
  <si>
    <t>FCX-US</t>
  </si>
  <si>
    <t>Hubspot Inc  Com</t>
  </si>
  <si>
    <t>HUBS-US</t>
  </si>
  <si>
    <t>Nasdaq Inc  Com</t>
  </si>
  <si>
    <t>NDAQ-US</t>
  </si>
  <si>
    <t>Synchrony Financial  Com</t>
  </si>
  <si>
    <t>SYF-US</t>
  </si>
  <si>
    <t>Ulta Beauty Inc  Com</t>
  </si>
  <si>
    <t>ULTA-US</t>
  </si>
  <si>
    <t>Rexford Industrial Realty Inc  Com</t>
  </si>
  <si>
    <t>REXR-US</t>
  </si>
  <si>
    <t>Gitlab Inc  Cl A</t>
  </si>
  <si>
    <t>GTLB-US</t>
  </si>
  <si>
    <t>Caesars Entertainment Inc  Com</t>
  </si>
  <si>
    <t>CZR-US</t>
  </si>
  <si>
    <t>Q2 Holdings Inc  Com</t>
  </si>
  <si>
    <t>QTWO-US</t>
  </si>
  <si>
    <t>Five Below Inc  Com</t>
  </si>
  <si>
    <t>FIVE-US</t>
  </si>
  <si>
    <t>Clearwater Analytics Holdings  Cl A</t>
  </si>
  <si>
    <t>CWAN-US</t>
  </si>
  <si>
    <t>Sensata Technologies Hldg Plc  Com</t>
  </si>
  <si>
    <t>ST-US</t>
  </si>
  <si>
    <t>Iac Inc  Com</t>
  </si>
  <si>
    <t>IAC-US</t>
  </si>
  <si>
    <t>Mp Materials Corp  Cl A</t>
  </si>
  <si>
    <t>MP-US</t>
  </si>
  <si>
    <t>Livanova Plc  Ord</t>
  </si>
  <si>
    <t>LIVN-US</t>
  </si>
  <si>
    <t>Quantumscape Corp  Cl A</t>
  </si>
  <si>
    <t>QS-US</t>
  </si>
  <si>
    <t>Informatica Inc  Cl A</t>
  </si>
  <si>
    <t>INFA-US</t>
  </si>
  <si>
    <t>Independent Bank Group Inc  Com</t>
  </si>
  <si>
    <t>IBTX-US</t>
  </si>
  <si>
    <t>10X Genomics Inc  Cl A</t>
  </si>
  <si>
    <t>TXG-US</t>
  </si>
  <si>
    <t>Iovance Biotherapeutics Inc  Com</t>
  </si>
  <si>
    <t>IOVA-US</t>
  </si>
  <si>
    <t>Green Brick Partners Inc  Com</t>
  </si>
  <si>
    <t>GRBK-US</t>
  </si>
  <si>
    <t>Lendingclub Corp  Com</t>
  </si>
  <si>
    <t>LC-US</t>
  </si>
  <si>
    <t>Harmonic Inc  Com</t>
  </si>
  <si>
    <t>HLIT-US</t>
  </si>
  <si>
    <t>Tripadvisor Inc  Com</t>
  </si>
  <si>
    <t>TRIP-US</t>
  </si>
  <si>
    <t>Comstock Resources Inc  Com</t>
  </si>
  <si>
    <t>CRK-US</t>
  </si>
  <si>
    <t>Kaiser Aluminum Corp  Com</t>
  </si>
  <si>
    <t>KALU-US</t>
  </si>
  <si>
    <t>New Fortress Energy Inc  Cl A</t>
  </si>
  <si>
    <t>NFE-US</t>
  </si>
  <si>
    <t>Hci Group Inc  Com</t>
  </si>
  <si>
    <t>HCI-US</t>
  </si>
  <si>
    <t>Energy Fuels Inc  Com</t>
  </si>
  <si>
    <t>EFR-CA</t>
  </si>
  <si>
    <t>Pacira Biosciences Inc  Com</t>
  </si>
  <si>
    <t>PCRX-US</t>
  </si>
  <si>
    <t>Rex American Resources Corp  Com</t>
  </si>
  <si>
    <t>REX-US</t>
  </si>
  <si>
    <t>Sinclair Inc  Cl A</t>
  </si>
  <si>
    <t>SBGI-US</t>
  </si>
  <si>
    <t>Amplitude Inc  Cl A</t>
  </si>
  <si>
    <t>AMPL-US</t>
  </si>
  <si>
    <t>Playtika Holding Corp  Com</t>
  </si>
  <si>
    <t>PLTK-US</t>
  </si>
  <si>
    <t>Ziprecruiter Inc  Cl A</t>
  </si>
  <si>
    <t>ZIP-US</t>
  </si>
  <si>
    <t>Turtle Beach Corp  Com</t>
  </si>
  <si>
    <t>HEAR-US</t>
  </si>
  <si>
    <t>Bioventus Inc  Cl A</t>
  </si>
  <si>
    <t>BVS-US</t>
  </si>
  <si>
    <t>Korro Bio Inc  Com</t>
  </si>
  <si>
    <t>KRRO-US</t>
  </si>
  <si>
    <t>Immunitybio Inc  Com</t>
  </si>
  <si>
    <t>IBRX-US</t>
  </si>
  <si>
    <t>Humacyte Inc  Com</t>
  </si>
  <si>
    <t>HUMA-US</t>
  </si>
  <si>
    <t>Maxcyte Inc  Com</t>
  </si>
  <si>
    <t>MXCT-US</t>
  </si>
  <si>
    <t>Lovesac Co  Com</t>
  </si>
  <si>
    <t>LOVE-US</t>
  </si>
  <si>
    <t>Orchid Island Capital Inc  Com</t>
  </si>
  <si>
    <t>ORC-US</t>
  </si>
  <si>
    <t>Codexis Inc  Com</t>
  </si>
  <si>
    <t>CDXS-US</t>
  </si>
  <si>
    <t>Siga Technologies Inc  Com</t>
  </si>
  <si>
    <t>SIGA-US</t>
  </si>
  <si>
    <t>Y Mabs Therapeutics Inc  Com</t>
  </si>
  <si>
    <t>YMAB-US</t>
  </si>
  <si>
    <t>Nexpoint Diversified Real Estat  Com</t>
  </si>
  <si>
    <t>NXDT-US</t>
  </si>
  <si>
    <t>Iteos Therapeutics Inc  Com</t>
  </si>
  <si>
    <t>ITOS-US</t>
  </si>
  <si>
    <t>Domo Inc  Cl B</t>
  </si>
  <si>
    <t>DOMO-US</t>
  </si>
  <si>
    <t>Scpharmaceuticals Inc  Com</t>
  </si>
  <si>
    <t>SCPH-US</t>
  </si>
  <si>
    <t>Soundthinking Inc  Com</t>
  </si>
  <si>
    <t>SSTI-US</t>
  </si>
  <si>
    <t>Modivcare Inc  Com</t>
  </si>
  <si>
    <t>MODV-US</t>
  </si>
  <si>
    <t>Igm Biosciences Inc  Com</t>
  </si>
  <si>
    <t>IGMS-US</t>
  </si>
  <si>
    <t>Mersana Therapeutics Inc  Com</t>
  </si>
  <si>
    <t>MRSN-US</t>
  </si>
  <si>
    <t>Agenus Inc  Com</t>
  </si>
  <si>
    <t>AGEN-US</t>
  </si>
  <si>
    <t>Comcast Corp  Cl A</t>
  </si>
  <si>
    <t>CMCSA-US</t>
  </si>
  <si>
    <t>Keurig Dr Pepper Inc  Com</t>
  </si>
  <si>
    <t>KDP-US</t>
  </si>
  <si>
    <t>Liberty Media Corp  Cl C Lib Formula</t>
  </si>
  <si>
    <t>FWONK-US</t>
  </si>
  <si>
    <t>Liberty Broadband Corp  Cl C</t>
  </si>
  <si>
    <t>LBRDK-US</t>
  </si>
  <si>
    <t>Semtech Corp  Com</t>
  </si>
  <si>
    <t>SMTC-US</t>
  </si>
  <si>
    <t>Liberty Media Corp  Cl A Lib Formula</t>
  </si>
  <si>
    <t>FWONA-US</t>
  </si>
  <si>
    <t>Atlanta Braves Holdings Inc  Cl C</t>
  </si>
  <si>
    <t>BATRK-US</t>
  </si>
  <si>
    <t>First Commonwealth Financial  Com</t>
  </si>
  <si>
    <t>FCF-US</t>
  </si>
  <si>
    <t>Matterport Inc  Cl A</t>
  </si>
  <si>
    <t>MTTR-US</t>
  </si>
  <si>
    <t>Liberty Broadband Corp  Cl A</t>
  </si>
  <si>
    <t>LBRDA-US</t>
  </si>
  <si>
    <t>Dream Finders Homes Inc  Cl A</t>
  </si>
  <si>
    <t>DFH-US</t>
  </si>
  <si>
    <t>Mind Medicine Mindmed Inc  Com</t>
  </si>
  <si>
    <t>MNMD-US</t>
  </si>
  <si>
    <t>Atlanta Braves Holdings Inc  Cl A</t>
  </si>
  <si>
    <t>BATRA-US</t>
  </si>
  <si>
    <t>One Liberty Properties Inc  Com</t>
  </si>
  <si>
    <t>OLP-US</t>
  </si>
  <si>
    <t>Sage Therapeutics Inc  Com</t>
  </si>
  <si>
    <t>SAGE-US</t>
  </si>
  <si>
    <t>Terns Pharmaceuticals Inc  Com</t>
  </si>
  <si>
    <t>TERN-US</t>
  </si>
  <si>
    <t>2Seventy Bio Inc  Com</t>
  </si>
  <si>
    <t>TSVT-US</t>
  </si>
  <si>
    <t>X4 Pharmaceuticals Inc  Com</t>
  </si>
  <si>
    <t>XFOR-US</t>
  </si>
  <si>
    <t>Alphabet Inc  Cl A</t>
  </si>
  <si>
    <t>GOOGL-US</t>
  </si>
  <si>
    <t>Alphabet Inc  Cl C</t>
  </si>
  <si>
    <t>GOOG-US</t>
  </si>
  <si>
    <t>Arista Networks Inc  Com</t>
  </si>
  <si>
    <t>ANET-US</t>
  </si>
  <si>
    <t>Digital Realty Trust Inc  Com</t>
  </si>
  <si>
    <t>DLR-US</t>
  </si>
  <si>
    <t>Garmin Ltd  Com</t>
  </si>
  <si>
    <t>GRMN-US</t>
  </si>
  <si>
    <t>Ansys Inc  Com</t>
  </si>
  <si>
    <t>ANSS-US</t>
  </si>
  <si>
    <t>Omega Healthcare Investors Inc  Com</t>
  </si>
  <si>
    <t>OHI-US</t>
  </si>
  <si>
    <t>Shift4 Payments Inc  Cl A</t>
  </si>
  <si>
    <t>FOUR-US</t>
  </si>
  <si>
    <t>Willscot Holdings Corp  Cl A</t>
  </si>
  <si>
    <t>WSC-US</t>
  </si>
  <si>
    <t>Crinetics Pharmaceuticals Inc  Com</t>
  </si>
  <si>
    <t>CRNX-US</t>
  </si>
  <si>
    <t>Axsome Therapeutics Inc  Com</t>
  </si>
  <si>
    <t>AXSM-US</t>
  </si>
  <si>
    <t>Warby Parker Inc  Cl A</t>
  </si>
  <si>
    <t>WRBY-US</t>
  </si>
  <si>
    <t>Openlane Inc  Com</t>
  </si>
  <si>
    <t>KAR-US</t>
  </si>
  <si>
    <t>Akero Therapeutics Inc  Com</t>
  </si>
  <si>
    <t>AKRO-US</t>
  </si>
  <si>
    <t>Icf International Inc  Com</t>
  </si>
  <si>
    <t>ICFI-US</t>
  </si>
  <si>
    <t>Edgewise Therapeutics Inc  Com</t>
  </si>
  <si>
    <t>EWTX-US</t>
  </si>
  <si>
    <t>Upwork Inc  Com</t>
  </si>
  <si>
    <t>UPWK-US</t>
  </si>
  <si>
    <t>Hillman Solutions Corp  Cl A</t>
  </si>
  <si>
    <t>HLMN-US</t>
  </si>
  <si>
    <t>First Advantage Corp  Com</t>
  </si>
  <si>
    <t>FA-US</t>
  </si>
  <si>
    <t>Encore Capital Group Inc  Com</t>
  </si>
  <si>
    <t>ECPG-US</t>
  </si>
  <si>
    <t>Revolve Group Inc  Cl A</t>
  </si>
  <si>
    <t>RVLV-US</t>
  </si>
  <si>
    <t>Digimarc Corp New  Com</t>
  </si>
  <si>
    <t>DMRC-US</t>
  </si>
  <si>
    <t>Amerisafe Inc  Com</t>
  </si>
  <si>
    <t>AMSF-US</t>
  </si>
  <si>
    <t>Alignment Healthcare Inc  Com</t>
  </si>
  <si>
    <t>ALHC-US</t>
  </si>
  <si>
    <t>Adaptive Biotechnologies Corp  Com</t>
  </si>
  <si>
    <t>ADPT-US</t>
  </si>
  <si>
    <t>Onespan Inc  Com</t>
  </si>
  <si>
    <t>OSPN-US</t>
  </si>
  <si>
    <t>Navitas Semiconductor Corp  Com</t>
  </si>
  <si>
    <t>NVTS-US</t>
  </si>
  <si>
    <t>Ses Ai Corp  Cl A</t>
  </si>
  <si>
    <t>SES-US</t>
  </si>
  <si>
    <t>Alta Equipment Group Inc  Com</t>
  </si>
  <si>
    <t>ALTG-US</t>
  </si>
  <si>
    <t>Fate Therapeutics Inc  Com</t>
  </si>
  <si>
    <t>FATE-US</t>
  </si>
  <si>
    <t>Acelyrin Inc  Com</t>
  </si>
  <si>
    <t>SLRN-US</t>
  </si>
  <si>
    <t>Netflix Inc  Com</t>
  </si>
  <si>
    <t>NFLX-US</t>
  </si>
  <si>
    <t>Trane Technologies Plc  Com</t>
  </si>
  <si>
    <t>TT-US</t>
  </si>
  <si>
    <t>Chipotle Mexican Grill Inc  Cl A</t>
  </si>
  <si>
    <t>CMG-US</t>
  </si>
  <si>
    <t>Lululemon Athletica Inc  Com</t>
  </si>
  <si>
    <t>LULU-US</t>
  </si>
  <si>
    <t>Gartner Inc  Cl A</t>
  </si>
  <si>
    <t>IT-US</t>
  </si>
  <si>
    <t>Diamondback Energy Inc  Com</t>
  </si>
  <si>
    <t>FANG-US</t>
  </si>
  <si>
    <t>Costar Group Inc  Com</t>
  </si>
  <si>
    <t>CSGP-US</t>
  </si>
  <si>
    <t>Godaddy Inc  Cl A</t>
  </si>
  <si>
    <t>GDDY-US</t>
  </si>
  <si>
    <t>Corpay Inc  Com</t>
  </si>
  <si>
    <t>CPAY-US</t>
  </si>
  <si>
    <t>Expand Energy Corp  Com</t>
  </si>
  <si>
    <t>EXE-US</t>
  </si>
  <si>
    <t>Emcor Group Inc  Com</t>
  </si>
  <si>
    <t>EME-US</t>
  </si>
  <si>
    <t>Toast Inc  Cl A</t>
  </si>
  <si>
    <t>TOST-US</t>
  </si>
  <si>
    <t>Twilio Inc  Cl A</t>
  </si>
  <si>
    <t>TWLO-US</t>
  </si>
  <si>
    <t>Sarepta Therapeutics Inc  Com</t>
  </si>
  <si>
    <t>SRPT-US</t>
  </si>
  <si>
    <t>Vaxcyte Inc  Com</t>
  </si>
  <si>
    <t>PCVX-US</t>
  </si>
  <si>
    <t>Royalty Pharma Plc  Cl A</t>
  </si>
  <si>
    <t>RPRX-US</t>
  </si>
  <si>
    <t>Roku Inc  Cl A</t>
  </si>
  <si>
    <t>ROKU-US</t>
  </si>
  <si>
    <t>Mosaic Co  Com</t>
  </si>
  <si>
    <t>MOS-US</t>
  </si>
  <si>
    <t>Procore Technologies Inc  Com</t>
  </si>
  <si>
    <t>PCOR-US</t>
  </si>
  <si>
    <t>Axalta Coating Systems Ltd  Com</t>
  </si>
  <si>
    <t>AXTA-US</t>
  </si>
  <si>
    <t>Davita (Healthcare) Inc  Com</t>
  </si>
  <si>
    <t>DVA-US</t>
  </si>
  <si>
    <t>Casella Waste Systems Inc  Cl A</t>
  </si>
  <si>
    <t>CWST-US</t>
  </si>
  <si>
    <t>Ionis Pharmaceuticals Inc  Com</t>
  </si>
  <si>
    <t>IONS-US</t>
  </si>
  <si>
    <t>Hims &amp; Hers Health Inc  Cl A</t>
  </si>
  <si>
    <t>HIMS-US</t>
  </si>
  <si>
    <t>Moelis &amp; Co  Cl A</t>
  </si>
  <si>
    <t>MC-US</t>
  </si>
  <si>
    <t>Exponent Inc  Com</t>
  </si>
  <si>
    <t>EXPO-US</t>
  </si>
  <si>
    <t>Academy Sports &amp; Outdoors Inc  Com</t>
  </si>
  <si>
    <t>ASO-US</t>
  </si>
  <si>
    <t>Guardant Health Inc  Com</t>
  </si>
  <si>
    <t>GH-US</t>
  </si>
  <si>
    <t>Enstar Group Ltd  Com</t>
  </si>
  <si>
    <t>ESGR-US</t>
  </si>
  <si>
    <t>Ameris Bancorp  Com</t>
  </si>
  <si>
    <t>ABCB-US</t>
  </si>
  <si>
    <t>Impinj Inc  Com</t>
  </si>
  <si>
    <t>PI-US</t>
  </si>
  <si>
    <t>Patterson Uti Energy Inc  Com</t>
  </si>
  <si>
    <t>PTEN-US</t>
  </si>
  <si>
    <t>Freshworks Inc  Cl A</t>
  </si>
  <si>
    <t>FRSH-US</t>
  </si>
  <si>
    <t>Ha Sustainable Infrastructure  Com</t>
  </si>
  <si>
    <t>HASI-US</t>
  </si>
  <si>
    <t>Brighthouse Financial Inc  Com</t>
  </si>
  <si>
    <t>BHF-US</t>
  </si>
  <si>
    <t>Virtu Financial Inc  Cl A</t>
  </si>
  <si>
    <t>VIRT-US</t>
  </si>
  <si>
    <t>Oscar Health Inc  Cl A</t>
  </si>
  <si>
    <t>OSCR-US</t>
  </si>
  <si>
    <t>Four Corners Property Trust Inc  Com</t>
  </si>
  <si>
    <t>FCPT-US</t>
  </si>
  <si>
    <t>Amicus Therapeutics Inc  Com</t>
  </si>
  <si>
    <t>FOLD-US</t>
  </si>
  <si>
    <t>Tidewater Inc  Com</t>
  </si>
  <si>
    <t>TDW-US</t>
  </si>
  <si>
    <t>Digitalocean Holdings Inc  Com</t>
  </si>
  <si>
    <t>DOCN-US</t>
  </si>
  <si>
    <t>Visteon Corp  Com</t>
  </si>
  <si>
    <t>VC-US</t>
  </si>
  <si>
    <t>World Kinect(Fuel) Corp  Com</t>
  </si>
  <si>
    <t>WKC-US</t>
  </si>
  <si>
    <t>Kosmos Energy Ltd  Com</t>
  </si>
  <si>
    <t>KOS-US</t>
  </si>
  <si>
    <t>Surgery Partners Inc  Com</t>
  </si>
  <si>
    <t>SGRY-US</t>
  </si>
  <si>
    <t>Applied Optoelectronics Inc  Com</t>
  </si>
  <si>
    <t>AAOI-US</t>
  </si>
  <si>
    <t>Helios Technologies Inc  Com</t>
  </si>
  <si>
    <t>HLIO-US</t>
  </si>
  <si>
    <t>Appian Corp  Cl A</t>
  </si>
  <si>
    <t>APPN-US</t>
  </si>
  <si>
    <t>Imax Corp  Com</t>
  </si>
  <si>
    <t>IMAX-US</t>
  </si>
  <si>
    <t>Evolent Health Inc  Cl A</t>
  </si>
  <si>
    <t>EVH-US</t>
  </si>
  <si>
    <t>Myriad Genetics Inc  Com</t>
  </si>
  <si>
    <t>MYGN-US</t>
  </si>
  <si>
    <t>Ladder Capital Corp  Cl A</t>
  </si>
  <si>
    <t>LADR-US</t>
  </si>
  <si>
    <t>Kennedy Wilson Holdings Inc  Com</t>
  </si>
  <si>
    <t>KW-US</t>
  </si>
  <si>
    <t>Rxsight Inc  Com</t>
  </si>
  <si>
    <t>RXST-US</t>
  </si>
  <si>
    <t>Legalzoom Com Inc  Com</t>
  </si>
  <si>
    <t>LZ-US</t>
  </si>
  <si>
    <t>Fresh Del Monte Produce Inc  Ord</t>
  </si>
  <si>
    <t>FDP-US</t>
  </si>
  <si>
    <t>D Wave Quantum Inc  Com</t>
  </si>
  <si>
    <t>QBTS-US</t>
  </si>
  <si>
    <t>Soleno Therapeutics Inc  Com</t>
  </si>
  <si>
    <t>SLNO-US</t>
  </si>
  <si>
    <t>Intuitive Machines Inc  Cl A</t>
  </si>
  <si>
    <t>LUNR-US</t>
  </si>
  <si>
    <t>Energy Recovery Inc  Com</t>
  </si>
  <si>
    <t>ERII-US</t>
  </si>
  <si>
    <t>Redfin Corp  Com</t>
  </si>
  <si>
    <t>RDFN-US</t>
  </si>
  <si>
    <t>Acadian Asset Management Inc  Com</t>
  </si>
  <si>
    <t>AAMI-US</t>
  </si>
  <si>
    <t>Omeros Corp  Com</t>
  </si>
  <si>
    <t>OMER-US</t>
  </si>
  <si>
    <t>Akebia Therapeutics Inc  Com</t>
  </si>
  <si>
    <t>AKBA-US</t>
  </si>
  <si>
    <t>Ivanhoe Electric Inc  Com</t>
  </si>
  <si>
    <t>IE-US</t>
  </si>
  <si>
    <t>Shutterstock Inc  Com</t>
  </si>
  <si>
    <t>SSTK-US</t>
  </si>
  <si>
    <t>Arcus Biosciences Inc  Com</t>
  </si>
  <si>
    <t>RCUS-US</t>
  </si>
  <si>
    <t>Pulse Biosciences Inc  Com</t>
  </si>
  <si>
    <t>PLSE-US</t>
  </si>
  <si>
    <t>Gcm Grosvenor Inc  Cl A</t>
  </si>
  <si>
    <t>GCMG-US</t>
  </si>
  <si>
    <t>Excelerate Energy Inc  Cl A</t>
  </si>
  <si>
    <t>EE-US</t>
  </si>
  <si>
    <t>Everquote Inc  Cl A</t>
  </si>
  <si>
    <t>EVER-US</t>
  </si>
  <si>
    <t>Ur Energy Inc  Com</t>
  </si>
  <si>
    <t>URE-CA</t>
  </si>
  <si>
    <t>Semrush Holdings Inc  Cl A</t>
  </si>
  <si>
    <t>SEMR-US</t>
  </si>
  <si>
    <t>Columbia Financial Inc  Com</t>
  </si>
  <si>
    <t>CLBK-US</t>
  </si>
  <si>
    <t>Arko Corp  Com</t>
  </si>
  <si>
    <t>ARKO-US</t>
  </si>
  <si>
    <t>Savara Inc  Com</t>
  </si>
  <si>
    <t>SVRA-US</t>
  </si>
  <si>
    <t>Evolus Inc  Com</t>
  </si>
  <si>
    <t>EOLS-US</t>
  </si>
  <si>
    <t>Nlight Inc  Com</t>
  </si>
  <si>
    <t>LASR-US</t>
  </si>
  <si>
    <t>Meridianlink Inc  Com</t>
  </si>
  <si>
    <t>MLNK-US</t>
  </si>
  <si>
    <t>Vaalco Energy Inc  Com</t>
  </si>
  <si>
    <t>EGY-US</t>
  </si>
  <si>
    <t>Third Harmonic Bio Inc  Com</t>
  </si>
  <si>
    <t>THRD-US</t>
  </si>
  <si>
    <t>Meiragtx Holdings Plc  Com</t>
  </si>
  <si>
    <t>MGTX-US</t>
  </si>
  <si>
    <t>Ooma Inc  Com</t>
  </si>
  <si>
    <t>OOMA-US</t>
  </si>
  <si>
    <t>Luxfer Holdings Plc  Com</t>
  </si>
  <si>
    <t>LXFR-US</t>
  </si>
  <si>
    <t>Viemed Healthcare Inc  Com</t>
  </si>
  <si>
    <t>VMD-US</t>
  </si>
  <si>
    <t>Sana Biotechnology Inc  Com</t>
  </si>
  <si>
    <t>SANA-US</t>
  </si>
  <si>
    <t>Verve Therapeutics Inc  Com</t>
  </si>
  <si>
    <t>VERV-US</t>
  </si>
  <si>
    <t>Corsair Gaming Inc  Com</t>
  </si>
  <si>
    <t>CRSR-US</t>
  </si>
  <si>
    <t>Rimini Street Inc  Cl A</t>
  </si>
  <si>
    <t>RMNI-US</t>
  </si>
  <si>
    <t>Eventbrite Inc  Cl A</t>
  </si>
  <si>
    <t>EB-US</t>
  </si>
  <si>
    <t>Westrock Coffee Co  Com</t>
  </si>
  <si>
    <t>WEST-US</t>
  </si>
  <si>
    <t>Sutro Biopharma Inc  Com</t>
  </si>
  <si>
    <t>STRO-US</t>
  </si>
  <si>
    <t>Granite Point Mortgage Trust  Com</t>
  </si>
  <si>
    <t>GPMT-US</t>
  </si>
  <si>
    <t>Beauty Health Co  Cl A</t>
  </si>
  <si>
    <t>SKIN-US</t>
  </si>
  <si>
    <t>American Vanguard Corp  Com</t>
  </si>
  <si>
    <t>AVD-US</t>
  </si>
  <si>
    <t>Applied Therapeutics Inc  Com</t>
  </si>
  <si>
    <t>APLT-US</t>
  </si>
  <si>
    <t>Generation Bio Co  Com</t>
  </si>
  <si>
    <t>GBIO-US</t>
  </si>
  <si>
    <t>Hillevax Inc  Com</t>
  </si>
  <si>
    <t>HLVX-US</t>
  </si>
  <si>
    <t>Walmart Inc  Com</t>
  </si>
  <si>
    <t>WMT-US</t>
  </si>
  <si>
    <t>Palantir Technologies Inc  Cl A</t>
  </si>
  <si>
    <t>PLTR-US</t>
  </si>
  <si>
    <t>Applovin Corp  Cl A</t>
  </si>
  <si>
    <t>APP-US</t>
  </si>
  <si>
    <t>Airbnb Inc  Cl A</t>
  </si>
  <si>
    <t>ABNB-US</t>
  </si>
  <si>
    <t>Datadog Inc  Cl A</t>
  </si>
  <si>
    <t>DDOG-US</t>
  </si>
  <si>
    <t>Fidelity National Info Services  Com</t>
  </si>
  <si>
    <t>FIS-US</t>
  </si>
  <si>
    <t>Dupont De Nemours Inc  Com</t>
  </si>
  <si>
    <t>DD-US</t>
  </si>
  <si>
    <t>Devon Energy Corp  Com</t>
  </si>
  <si>
    <t>DVN-US</t>
  </si>
  <si>
    <t>American Airlines Group Inc  Com</t>
  </si>
  <si>
    <t>AAL-US</t>
  </si>
  <si>
    <t>Stifel Financial Corp  Com</t>
  </si>
  <si>
    <t>SF-US</t>
  </si>
  <si>
    <t>Antero Resources Corp  Com</t>
  </si>
  <si>
    <t>AR-US</t>
  </si>
  <si>
    <t>Ionq Inc  Com</t>
  </si>
  <si>
    <t>IONQ-US</t>
  </si>
  <si>
    <t>Globus Medical Inc  Cl A</t>
  </si>
  <si>
    <t>GMED-US</t>
  </si>
  <si>
    <t>Penumbra Inc  Com</t>
  </si>
  <si>
    <t>PEN-US</t>
  </si>
  <si>
    <t>Marketaxess Holdings Inc  Com</t>
  </si>
  <si>
    <t>MKTX-US</t>
  </si>
  <si>
    <t>Unity Software Inc  Com</t>
  </si>
  <si>
    <t>U-US</t>
  </si>
  <si>
    <t>Light &amp; Wonder Inc  Cl A</t>
  </si>
  <si>
    <t>LNW-US</t>
  </si>
  <si>
    <t>Fti Consulting Inc  Com</t>
  </si>
  <si>
    <t>FCN-US</t>
  </si>
  <si>
    <t>Bright Horizons Family Solutions Com</t>
  </si>
  <si>
    <t>BFAM-US</t>
  </si>
  <si>
    <t>Science Applications Intl Corp  Com</t>
  </si>
  <si>
    <t>SAIC-US</t>
  </si>
  <si>
    <t>Tpg Inc  Cl A</t>
  </si>
  <si>
    <t>TPG-US</t>
  </si>
  <si>
    <t>Antero Midstream Corp  Com</t>
  </si>
  <si>
    <t>AM-US</t>
  </si>
  <si>
    <t>Interdigital Inc  Com</t>
  </si>
  <si>
    <t>IDCC-US</t>
  </si>
  <si>
    <t>Urban Outfitters Inc  Com</t>
  </si>
  <si>
    <t>URBN-US</t>
  </si>
  <si>
    <t>Granite Construction Inc  Com</t>
  </si>
  <si>
    <t>GVA-US</t>
  </si>
  <si>
    <t>Cargurus Inc  Cl A</t>
  </si>
  <si>
    <t>CARG-US</t>
  </si>
  <si>
    <t>Apellis Pharmaceuticals Inc  Com</t>
  </si>
  <si>
    <t>APLS-US</t>
  </si>
  <si>
    <t>Resideo Technologies Inc  Com</t>
  </si>
  <si>
    <t>REZI-US</t>
  </si>
  <si>
    <t>Credit Acceptance Corp (Mich)  Com</t>
  </si>
  <si>
    <t>CACC-US</t>
  </si>
  <si>
    <t>Alarm Com Holdings Inc  Com</t>
  </si>
  <si>
    <t>ALRM-US</t>
  </si>
  <si>
    <t>Pennymac Financial Services Inc  Com</t>
  </si>
  <si>
    <t>PFSI-US</t>
  </si>
  <si>
    <t>Compass Inc  Cl A</t>
  </si>
  <si>
    <t>COMP.EQ-US</t>
  </si>
  <si>
    <t>Plug Power Inc  Com</t>
  </si>
  <si>
    <t>PLUG-US</t>
  </si>
  <si>
    <t>Baldwin Insurance Group Inc  Cl A</t>
  </si>
  <si>
    <t>BWIN-US</t>
  </si>
  <si>
    <t>Flagstar Financial Inc  Com</t>
  </si>
  <si>
    <t>FLG-US</t>
  </si>
  <si>
    <t>Beam Therapeutics Inc  Com</t>
  </si>
  <si>
    <t>BEAM-US</t>
  </si>
  <si>
    <t>Lemonade Inc  Com</t>
  </si>
  <si>
    <t>LMND-US</t>
  </si>
  <si>
    <t>Apogee Therapeutics Inc  Com</t>
  </si>
  <si>
    <t>APGE-US</t>
  </si>
  <si>
    <t>Onespaworld Holdings Ltd  Com</t>
  </si>
  <si>
    <t>OSW-US</t>
  </si>
  <si>
    <t>Masterbrand Inc  Com</t>
  </si>
  <si>
    <t>MBC-US</t>
  </si>
  <si>
    <t>Ufp Technologies Inc  Com</t>
  </si>
  <si>
    <t>UFPT-US</t>
  </si>
  <si>
    <t>Trupanion Inc  Com</t>
  </si>
  <si>
    <t>TRUP-US</t>
  </si>
  <si>
    <t>Mirum Pharmaceuticals Inc  Com</t>
  </si>
  <si>
    <t>MIRM-US</t>
  </si>
  <si>
    <t>Innodata Inc  Com</t>
  </si>
  <si>
    <t>INOD-US</t>
  </si>
  <si>
    <t>Amc Entertainment Holdings Inc  Cl A</t>
  </si>
  <si>
    <t>AMC-US</t>
  </si>
  <si>
    <t>Praxis Precision Medicines Inc  Com</t>
  </si>
  <si>
    <t>PRAX-US</t>
  </si>
  <si>
    <t>Cars Com Inc  Com</t>
  </si>
  <si>
    <t>CARS-US</t>
  </si>
  <si>
    <t>Cohu Inc  Com</t>
  </si>
  <si>
    <t>COHU-US</t>
  </si>
  <si>
    <t>Global Business Travel Grp Inc  Cl A</t>
  </si>
  <si>
    <t>GBTG-US</t>
  </si>
  <si>
    <t>Chimera Investment Corp  Com</t>
  </si>
  <si>
    <t>CIM-US</t>
  </si>
  <si>
    <t>Xpel Inc  Com</t>
  </si>
  <si>
    <t>XPEL-US</t>
  </si>
  <si>
    <t>Root Inc  Cl A</t>
  </si>
  <si>
    <t>ROOT-US</t>
  </si>
  <si>
    <t>Kiniksa Pharmaceuticals Interna  Cl</t>
  </si>
  <si>
    <t>KNSA-US</t>
  </si>
  <si>
    <t>Figs Inc  Cl A</t>
  </si>
  <si>
    <t>FIGS-US</t>
  </si>
  <si>
    <t>Bristow Group Inc  Com</t>
  </si>
  <si>
    <t>VTOL-US</t>
  </si>
  <si>
    <t>Cogent Biosciences Inc  Com</t>
  </si>
  <si>
    <t>COGT-US</t>
  </si>
  <si>
    <t>Bumble Inc  Cl A</t>
  </si>
  <si>
    <t>BMBL-US</t>
  </si>
  <si>
    <t>Cytek Biosciences Inc  Com</t>
  </si>
  <si>
    <t>CTKB-US</t>
  </si>
  <si>
    <t>Pactiv Evergreen Inc  Com</t>
  </si>
  <si>
    <t>PTVE-US</t>
  </si>
  <si>
    <t>Axogen Inc  Com</t>
  </si>
  <si>
    <t>AXGN-US</t>
  </si>
  <si>
    <t>Ambac Financial Group Inc  Com New</t>
  </si>
  <si>
    <t>AMBC-US</t>
  </si>
  <si>
    <t>Kura Oncology Inc  Com</t>
  </si>
  <si>
    <t>KURA-US</t>
  </si>
  <si>
    <t>Arrow Financial Corp  Com</t>
  </si>
  <si>
    <t>AROW-US</t>
  </si>
  <si>
    <t>Financial Institutions Inc  Com</t>
  </si>
  <si>
    <t>FISI-US</t>
  </si>
  <si>
    <t>Universal Health Realty Inc Sbi</t>
  </si>
  <si>
    <t>UHT-US</t>
  </si>
  <si>
    <t>Annexon Inc  Com</t>
  </si>
  <si>
    <t>ANNX-US</t>
  </si>
  <si>
    <t>Heritage Insurance Holdings Inc  Com</t>
  </si>
  <si>
    <t>HRTG-US</t>
  </si>
  <si>
    <t>Zumiez Inc  Com</t>
  </si>
  <si>
    <t>ZUMZ-US</t>
  </si>
  <si>
    <t>Avita Medical Inc  Com</t>
  </si>
  <si>
    <t>RCEL-US</t>
  </si>
  <si>
    <t>Astria Therapeutics Inc  Com</t>
  </si>
  <si>
    <t>ATXS-US</t>
  </si>
  <si>
    <t>Xeris Biopharma Holdings Inc  Com</t>
  </si>
  <si>
    <t>XERS-US</t>
  </si>
  <si>
    <t>Stoke Therapeutics Inc  Com</t>
  </si>
  <si>
    <t>STOK-US</t>
  </si>
  <si>
    <t>Montauk Renewables Inc  Com</t>
  </si>
  <si>
    <t>MNTK-US</t>
  </si>
  <si>
    <t>Nu Skin Enterprises Inc  Cl A</t>
  </si>
  <si>
    <t>NUS-US</t>
  </si>
  <si>
    <t>Landsea Homes Corp  Com</t>
  </si>
  <si>
    <t>LSEA-US</t>
  </si>
  <si>
    <t>Cerus Corp  Com</t>
  </si>
  <si>
    <t>CERS-US</t>
  </si>
  <si>
    <t>Iheartmedia Inc  Cl A</t>
  </si>
  <si>
    <t>IHRT-US</t>
  </si>
  <si>
    <t>Microvision Inc (Wa)  Com</t>
  </si>
  <si>
    <t>MVIS-US</t>
  </si>
  <si>
    <t>Chegg Inc  Com</t>
  </si>
  <si>
    <t>CHGG-US</t>
  </si>
  <si>
    <t>Voyager Therapeutics Inc  Com</t>
  </si>
  <si>
    <t>VYGR-US</t>
  </si>
  <si>
    <t>Allogene Therapeutics Inc  Com</t>
  </si>
  <si>
    <t>ALLO-US</t>
  </si>
  <si>
    <t>Inogen Inc  Com</t>
  </si>
  <si>
    <t>INGN-US</t>
  </si>
  <si>
    <t>Tango Therapeutics Inc  Com</t>
  </si>
  <si>
    <t>TNGX-US</t>
  </si>
  <si>
    <t>Luminar Technologies Inc  Cl A</t>
  </si>
  <si>
    <t>LAZR-US</t>
  </si>
  <si>
    <t>Ventyx Biosciences Inc  Com</t>
  </si>
  <si>
    <t>VTYX-US</t>
  </si>
  <si>
    <t>Optimizerx Corp  Com</t>
  </si>
  <si>
    <t>OPRX-US</t>
  </si>
  <si>
    <t>Aerovate Therapeutics Inc  Com</t>
  </si>
  <si>
    <t>AVTE-US</t>
  </si>
  <si>
    <t>Booking Holdings Inc  Com</t>
  </si>
  <si>
    <t>BKNG-US</t>
  </si>
  <si>
    <t>Tjx Companies Inc  Com</t>
  </si>
  <si>
    <t>TJX-US</t>
  </si>
  <si>
    <t>General Motors Co  Com</t>
  </si>
  <si>
    <t>GM-US</t>
  </si>
  <si>
    <t>Cognizant Technology Solutions  Cl A</t>
  </si>
  <si>
    <t>CTSH-US</t>
  </si>
  <si>
    <t>Cloudflare Inc  Cl A</t>
  </si>
  <si>
    <t>NET-US</t>
  </si>
  <si>
    <t>Ares Management Corp  Cl A</t>
  </si>
  <si>
    <t>ARES-US</t>
  </si>
  <si>
    <t>Fortive Corp  Com</t>
  </si>
  <si>
    <t>FTV-US</t>
  </si>
  <si>
    <t>Builders Firstsource Inc  Com</t>
  </si>
  <si>
    <t>BLDR-US</t>
  </si>
  <si>
    <t>Juniper Networks Inc  Com</t>
  </si>
  <si>
    <t>JNPR-US</t>
  </si>
  <si>
    <t>Crocs Inc  Com</t>
  </si>
  <si>
    <t>CROX-US</t>
  </si>
  <si>
    <t>Paramount Global  Cl B</t>
  </si>
  <si>
    <t>PARA-US</t>
  </si>
  <si>
    <t>Element Solutions Inc  Com</t>
  </si>
  <si>
    <t>ESI-US</t>
  </si>
  <si>
    <t>Aci Worldwide Inc  Com</t>
  </si>
  <si>
    <t>ACIW-US</t>
  </si>
  <si>
    <t>Viper Energy Inc  Com</t>
  </si>
  <si>
    <t>VNOM-US</t>
  </si>
  <si>
    <t>Civitas Resources Inc  Com</t>
  </si>
  <si>
    <t>CIVI-US</t>
  </si>
  <si>
    <t>Adma Biologics Inc  Com Vtg</t>
  </si>
  <si>
    <t>ADMA-US</t>
  </si>
  <si>
    <t>Txnm Energy Inc  Com</t>
  </si>
  <si>
    <t>TXNM-US</t>
  </si>
  <si>
    <t>Organon &amp; Co  Com</t>
  </si>
  <si>
    <t>OGN-US</t>
  </si>
  <si>
    <t>Mirion Technologies Inc  Cl A</t>
  </si>
  <si>
    <t>MIR-US</t>
  </si>
  <si>
    <t>Procept Biorobotics Corp  Com</t>
  </si>
  <si>
    <t>PRCT-US</t>
  </si>
  <si>
    <t>Lucid Group Inc  Com</t>
  </si>
  <si>
    <t>LCID-US</t>
  </si>
  <si>
    <t>Penn Entertainment Inc  Com</t>
  </si>
  <si>
    <t>PENN-US</t>
  </si>
  <si>
    <t>Flywire Corp  Com Vtg</t>
  </si>
  <si>
    <t>FLYW-US</t>
  </si>
  <si>
    <t>Upbound Group Inc  Com</t>
  </si>
  <si>
    <t>UPBD-US</t>
  </si>
  <si>
    <t>Vita Coco Co Inc  Com</t>
  </si>
  <si>
    <t>COCO-US</t>
  </si>
  <si>
    <t>Stellar Bancorp Inc  Com</t>
  </si>
  <si>
    <t>STEL-US</t>
  </si>
  <si>
    <t>Mfa Financial Inc  Com</t>
  </si>
  <si>
    <t>MFA-US</t>
  </si>
  <si>
    <t>Mimedx Group Inc  Com</t>
  </si>
  <si>
    <t>MDXG-US</t>
  </si>
  <si>
    <t>Ameresco Inc  Cl A</t>
  </si>
  <si>
    <t>AMRC-US</t>
  </si>
  <si>
    <t>Byline Bancorp Inc  Com</t>
  </si>
  <si>
    <t>BY-US</t>
  </si>
  <si>
    <t>Uwm Holdings Corp  Cl A</t>
  </si>
  <si>
    <t>UWMC-US</t>
  </si>
  <si>
    <t>Hippo Holdings Inc  Cl A</t>
  </si>
  <si>
    <t>HIPO-US</t>
  </si>
  <si>
    <t>Cargo Therapeutics Inc  Com</t>
  </si>
  <si>
    <t>CRGX-US</t>
  </si>
  <si>
    <t>Lindblad Expeditions Holdings  Com</t>
  </si>
  <si>
    <t>LIND-US</t>
  </si>
  <si>
    <t>Viant Technology Inc  Cl A</t>
  </si>
  <si>
    <t>DSP-US</t>
  </si>
  <si>
    <t>Nabors Industries Ltd  Com</t>
  </si>
  <si>
    <t>NBR-US</t>
  </si>
  <si>
    <t>Gogo Inc  Com</t>
  </si>
  <si>
    <t>GOGO-US</t>
  </si>
  <si>
    <t>Kodiak Sciences Inc  Com</t>
  </si>
  <si>
    <t>KOD-US</t>
  </si>
  <si>
    <t>Vivid Seats Inc  Cl A</t>
  </si>
  <si>
    <t>SEAT-US</t>
  </si>
  <si>
    <t>Funko Inc  Cl A</t>
  </si>
  <si>
    <t>FNKO-US</t>
  </si>
  <si>
    <t>Ribbon Communications Inc  Com</t>
  </si>
  <si>
    <t>RBBN-US</t>
  </si>
  <si>
    <t>Claros Mortgage Trust Inc  Com</t>
  </si>
  <si>
    <t>CMTG-US</t>
  </si>
  <si>
    <t>Paramount Global  Cl A</t>
  </si>
  <si>
    <t>PARAA-US</t>
  </si>
  <si>
    <t>Aldeyra Therapeutics Inc  Com</t>
  </si>
  <si>
    <t>ALDX-US</t>
  </si>
  <si>
    <t>Hooker Furnishings Corp  Com</t>
  </si>
  <si>
    <t>HOFT-US</t>
  </si>
  <si>
    <t>Cvrx Inc  Com</t>
  </si>
  <si>
    <t>CVRX-US</t>
  </si>
  <si>
    <t>Playstudios Inc  Cl A</t>
  </si>
  <si>
    <t>MYPS-US</t>
  </si>
  <si>
    <t>Aersale Corp  Com</t>
  </si>
  <si>
    <t>ASLE-US</t>
  </si>
  <si>
    <t>Unitedhealth Group Inc  Com</t>
  </si>
  <si>
    <t>UNH-US</t>
  </si>
  <si>
    <t>Warner Bros Discovery Inc  Cl A</t>
  </si>
  <si>
    <t>WBD-US</t>
  </si>
  <si>
    <t>Watsco Inc  Com</t>
  </si>
  <si>
    <t>WSO-US</t>
  </si>
  <si>
    <t>Zillow Group Inc  Cl C</t>
  </si>
  <si>
    <t>Z-US</t>
  </si>
  <si>
    <t>Varonis Systems Inc  Com</t>
  </si>
  <si>
    <t>VRNS-US</t>
  </si>
  <si>
    <t>Sl Green Realty Corp  Com</t>
  </si>
  <si>
    <t>SLG-US</t>
  </si>
  <si>
    <t>Macys Inc  Com</t>
  </si>
  <si>
    <t>M-US</t>
  </si>
  <si>
    <t>Zillow Group Inc  Cl A</t>
  </si>
  <si>
    <t>ZG-US</t>
  </si>
  <si>
    <t>Par Technology Corp  Com</t>
  </si>
  <si>
    <t>PAR-US</t>
  </si>
  <si>
    <t>Outfront Media Inc  Com</t>
  </si>
  <si>
    <t>OUT-US</t>
  </si>
  <si>
    <t>Recursion Pharmaceuticals Inc  Cl A</t>
  </si>
  <si>
    <t>RXRX-US</t>
  </si>
  <si>
    <t>Acushnet Holdings Corp  Com</t>
  </si>
  <si>
    <t>GOLF-US</t>
  </si>
  <si>
    <t>Lemaitre Vascular Inc  Com</t>
  </si>
  <si>
    <t>LMAT-US</t>
  </si>
  <si>
    <t>Grocery Outlet Holding Corp  Com</t>
  </si>
  <si>
    <t>GO-US</t>
  </si>
  <si>
    <t>Amphastar Pharmaceuticals Inc  Com</t>
  </si>
  <si>
    <t>AMPH-US</t>
  </si>
  <si>
    <t>Buckle Inc  Com</t>
  </si>
  <si>
    <t>BKE-US</t>
  </si>
  <si>
    <t>Lifestance Health Group Inc  Com</t>
  </si>
  <si>
    <t>LFST-US</t>
  </si>
  <si>
    <t>American Assets Trust Inc  Com</t>
  </si>
  <si>
    <t>AAT-US</t>
  </si>
  <si>
    <t>Barrett Business Services Inc  Com</t>
  </si>
  <si>
    <t>BBSI-US</t>
  </si>
  <si>
    <t>Century Aluminum Co  Com</t>
  </si>
  <si>
    <t>CENX-US</t>
  </si>
  <si>
    <t>Nextdecade Corp  Com</t>
  </si>
  <si>
    <t>NEXT-US</t>
  </si>
  <si>
    <t>Forward Air Corp  Com</t>
  </si>
  <si>
    <t>FWRD-US</t>
  </si>
  <si>
    <t>Udemy Inc  Com</t>
  </si>
  <si>
    <t>UDMY-US</t>
  </si>
  <si>
    <t>Dave Inc  Cl A</t>
  </si>
  <si>
    <t>DAVE-US</t>
  </si>
  <si>
    <t>Teekay Corp Ltd  Com</t>
  </si>
  <si>
    <t>TK-US</t>
  </si>
  <si>
    <t>Quanterix Corp  Com</t>
  </si>
  <si>
    <t>QTRX-US</t>
  </si>
  <si>
    <t>Gannett Co Inc  Com</t>
  </si>
  <si>
    <t>GCI-US</t>
  </si>
  <si>
    <t>Portillos Inc  Cl A</t>
  </si>
  <si>
    <t>PTLO-US</t>
  </si>
  <si>
    <t>Relay Therapeutics Inc  Com</t>
  </si>
  <si>
    <t>RLAY-US</t>
  </si>
  <si>
    <t>Titan Machinery Inc  Com</t>
  </si>
  <si>
    <t>TITN-US</t>
  </si>
  <si>
    <t>Cabaletta Bio Inc  Com</t>
  </si>
  <si>
    <t>CABA-US</t>
  </si>
  <si>
    <t>Lowes Cos Inc  Com</t>
  </si>
  <si>
    <t>LOW-US</t>
  </si>
  <si>
    <t>Amgen Inc  Com</t>
  </si>
  <si>
    <t>AMGN-US</t>
  </si>
  <si>
    <t>Epam Systems Inc  Com</t>
  </si>
  <si>
    <t>EPAM-US</t>
  </si>
  <si>
    <t>Alkermes Plc  Com</t>
  </si>
  <si>
    <t>ALKS-US</t>
  </si>
  <si>
    <t>Denali Therapeutics Inc  Com</t>
  </si>
  <si>
    <t>DNLI-US</t>
  </si>
  <si>
    <t>Ideaya Biosciences Inc  Com</t>
  </si>
  <si>
    <t>IDYA-US</t>
  </si>
  <si>
    <t>Armour Residential Reit Inc  Com</t>
  </si>
  <si>
    <t>ARR-US</t>
  </si>
  <si>
    <t>Cadre Holdings Inc  Com</t>
  </si>
  <si>
    <t>CDRE-US</t>
  </si>
  <si>
    <t>Diversified Healthcare Trust  Sbi</t>
  </si>
  <si>
    <t>DHC-US</t>
  </si>
  <si>
    <t>Pubmatic Inc  Cl A</t>
  </si>
  <si>
    <t>PUBM-US</t>
  </si>
  <si>
    <t>Evolv Technologies Hldgs Inc  Cl A</t>
  </si>
  <si>
    <t>EVLV-US</t>
  </si>
  <si>
    <t>Real Brokerage Inc  Com</t>
  </si>
  <si>
    <t>REAX-US</t>
  </si>
  <si>
    <t>Regenxbio Inc  Com</t>
  </si>
  <si>
    <t>RGNX-US</t>
  </si>
  <si>
    <t>Perspective Therapeutics Inc  Com</t>
  </si>
  <si>
    <t>CATX-US</t>
  </si>
  <si>
    <t>Roblox Corp  Cl A</t>
  </si>
  <si>
    <t>RBLX-US</t>
  </si>
  <si>
    <t>Iron Mountain Inc  Com</t>
  </si>
  <si>
    <t>IRM-US</t>
  </si>
  <si>
    <t>Exelixis Inc  Com</t>
  </si>
  <si>
    <t>EXEL-US</t>
  </si>
  <si>
    <t>Glaukos Corp  Com</t>
  </si>
  <si>
    <t>GKOS-US</t>
  </si>
  <si>
    <t>Bruker Corp  Com</t>
  </si>
  <si>
    <t>BRKR-US</t>
  </si>
  <si>
    <t>Elanco Animal Health Inc  Com</t>
  </si>
  <si>
    <t>ELAN-US</t>
  </si>
  <si>
    <t>Workiva Inc  Cl A</t>
  </si>
  <si>
    <t>WK-US</t>
  </si>
  <si>
    <t>Macerich Co  Com</t>
  </si>
  <si>
    <t>MAC-US</t>
  </si>
  <si>
    <t>Sitime Corp  Com</t>
  </si>
  <si>
    <t>SITM-US</t>
  </si>
  <si>
    <t>Columbia Sportswear Co  Com</t>
  </si>
  <si>
    <t>COLM-US</t>
  </si>
  <si>
    <t>Douglas Emmett Inc  Com</t>
  </si>
  <si>
    <t>DEI-US</t>
  </si>
  <si>
    <t>Payoneer Global Inc  Cl A</t>
  </si>
  <si>
    <t>PAYO-US</t>
  </si>
  <si>
    <t>Laureate Education Inc  Com</t>
  </si>
  <si>
    <t>LAUR-US</t>
  </si>
  <si>
    <t>Medical Properties Trust Inc  Com</t>
  </si>
  <si>
    <t>MPW-US</t>
  </si>
  <si>
    <t>Cheesecake Factory Inc  Com</t>
  </si>
  <si>
    <t>CAKE-US</t>
  </si>
  <si>
    <t>Red Rock Resorts Inc  Cl A</t>
  </si>
  <si>
    <t>RRR-US</t>
  </si>
  <si>
    <t>Hayward Holdings Inc  Com</t>
  </si>
  <si>
    <t>HAYW-US</t>
  </si>
  <si>
    <t>Jamf Holding Corp  Com</t>
  </si>
  <si>
    <t>JAMF-US</t>
  </si>
  <si>
    <t>Elme Communities  Com</t>
  </si>
  <si>
    <t>ELME-US</t>
  </si>
  <si>
    <t>Topgolf Callaway Brands Corp  Com</t>
  </si>
  <si>
    <t>MODG-US</t>
  </si>
  <si>
    <t>Rush Street Interactive Inc  Cl A</t>
  </si>
  <si>
    <t>RSI-US</t>
  </si>
  <si>
    <t>Netgear Inc  Com</t>
  </si>
  <si>
    <t>NTGR-US</t>
  </si>
  <si>
    <t>Healthstream Inc  Com</t>
  </si>
  <si>
    <t>HSTM-US</t>
  </si>
  <si>
    <t>Aspen Aerogels Inc  Com</t>
  </si>
  <si>
    <t>ASPN-US</t>
  </si>
  <si>
    <t>Red Violet Inc  Com</t>
  </si>
  <si>
    <t>RDVT-US</t>
  </si>
  <si>
    <t>Esquire Financial Holdings Inc  Com</t>
  </si>
  <si>
    <t>ESQ-US</t>
  </si>
  <si>
    <t>Composecure Inc  Cl A</t>
  </si>
  <si>
    <t>CMPO-US</t>
  </si>
  <si>
    <t>Repay Holdings Corp  Cl A</t>
  </si>
  <si>
    <t>RPAY-US</t>
  </si>
  <si>
    <t>Couchbase Inc  Com</t>
  </si>
  <si>
    <t>BASE-US</t>
  </si>
  <si>
    <t>Sturm Ruger &amp; Co Inc  Com</t>
  </si>
  <si>
    <t>RGR-US</t>
  </si>
  <si>
    <t>Community West Bancshares  Com</t>
  </si>
  <si>
    <t>CWBC-US</t>
  </si>
  <si>
    <t>Hallador Energy Co  Com</t>
  </si>
  <si>
    <t>HNRG-US</t>
  </si>
  <si>
    <t>Keros Therapeutics Inc  Com</t>
  </si>
  <si>
    <t>KROS-US</t>
  </si>
  <si>
    <t>Shore Bancshares Inc  Com</t>
  </si>
  <si>
    <t>SHBI-US</t>
  </si>
  <si>
    <t>Industrial Logistics Properties  Cbi</t>
  </si>
  <si>
    <t>ILPT-US</t>
  </si>
  <si>
    <t>Xponential Fitness Inc  Cl A</t>
  </si>
  <si>
    <t>XPOF-US</t>
  </si>
  <si>
    <t>Profrac Holding Corp  Cl A</t>
  </si>
  <si>
    <t>ACDC-US</t>
  </si>
  <si>
    <t>Entravision Communications  Cl A</t>
  </si>
  <si>
    <t>EVC-US</t>
  </si>
  <si>
    <t>Third Coast Bancshares Inc  Com</t>
  </si>
  <si>
    <t>TCBX-US</t>
  </si>
  <si>
    <t>Prokidney Corp  Cl A</t>
  </si>
  <si>
    <t>PROK-US</t>
  </si>
  <si>
    <t>Editas Medicine Inc  Com</t>
  </si>
  <si>
    <t>EDIT-US</t>
  </si>
  <si>
    <t>Tenaya Therapeutics Inc  Com</t>
  </si>
  <si>
    <t>TNYA-US</t>
  </si>
  <si>
    <t>Meta Platforms Inc  Cl A</t>
  </si>
  <si>
    <t>META-US</t>
  </si>
  <si>
    <t>Exxon Mobil Corp  Com</t>
  </si>
  <si>
    <t>XOM-US</t>
  </si>
  <si>
    <t>Chevron Corp  Com</t>
  </si>
  <si>
    <t>CVX-US</t>
  </si>
  <si>
    <t>Williams Sonoma Inc  Com</t>
  </si>
  <si>
    <t>WSM-US</t>
  </si>
  <si>
    <t>Docusign Inc  Com</t>
  </si>
  <si>
    <t>DOCU-US</t>
  </si>
  <si>
    <t>Dollar General Corp  Com</t>
  </si>
  <si>
    <t>DG-US</t>
  </si>
  <si>
    <t>Ss&amp;C Technologies Holdings Inc  Com</t>
  </si>
  <si>
    <t>SSNC-US</t>
  </si>
  <si>
    <t>Ftai Aviation Ltd  Com</t>
  </si>
  <si>
    <t>FTAI-US</t>
  </si>
  <si>
    <t>Carlyle Group Inc  Com</t>
  </si>
  <si>
    <t>CG-US</t>
  </si>
  <si>
    <t>Sei Investments Co  Com</t>
  </si>
  <si>
    <t>SEIC-US</t>
  </si>
  <si>
    <t>Maplebear Inc  Com</t>
  </si>
  <si>
    <t>CART-US</t>
  </si>
  <si>
    <t>Mattel Inc  Com</t>
  </si>
  <si>
    <t>MAT-US</t>
  </si>
  <si>
    <t>Kite Realty Group Trust  Com</t>
  </si>
  <si>
    <t>KRG-US</t>
  </si>
  <si>
    <t>Upstart Holdings Inc  Com</t>
  </si>
  <si>
    <t>UPST-US</t>
  </si>
  <si>
    <t>Epr Properties  Sbi</t>
  </si>
  <si>
    <t>EPR-US</t>
  </si>
  <si>
    <t>Acv Auctions Inc  Cl A</t>
  </si>
  <si>
    <t>ACVA-US</t>
  </si>
  <si>
    <t>Diodes Inc  Com</t>
  </si>
  <si>
    <t>DIOD-US</t>
  </si>
  <si>
    <t>Irhythm Technologies Inc  Com</t>
  </si>
  <si>
    <t>IRTC-US</t>
  </si>
  <si>
    <t>California Water Service Group  Com</t>
  </si>
  <si>
    <t>CWT-US</t>
  </si>
  <si>
    <t>Ncr Voyix Corp  Com</t>
  </si>
  <si>
    <t>VYX-US</t>
  </si>
  <si>
    <t>Acadia Pharmaceuticals Inc  Com</t>
  </si>
  <si>
    <t>ACAD-US</t>
  </si>
  <si>
    <t>Bancorp Inc  Com</t>
  </si>
  <si>
    <t>TBBK-US</t>
  </si>
  <si>
    <t>Arvinas Inc  Com</t>
  </si>
  <si>
    <t>ARVN-US</t>
  </si>
  <si>
    <t>Umh Properties Inc  Com</t>
  </si>
  <si>
    <t>UMH-US</t>
  </si>
  <si>
    <t>Franklin Bsp Realty Trust Inc  Com</t>
  </si>
  <si>
    <t>FBRT-US</t>
  </si>
  <si>
    <t>Harmony Biosciences Holdings  Com</t>
  </si>
  <si>
    <t>HRMY-US</t>
  </si>
  <si>
    <t>Ftai Infrastructure Inc  Com Wi</t>
  </si>
  <si>
    <t>FIP-US</t>
  </si>
  <si>
    <t>Vir Biotechnology Inc  Com</t>
  </si>
  <si>
    <t>VIR-US</t>
  </si>
  <si>
    <t>Agilon Health Inc  Com</t>
  </si>
  <si>
    <t>AGL-US</t>
  </si>
  <si>
    <t>Metropolitan Bank Holding Corp  Com</t>
  </si>
  <si>
    <t>MCB-US</t>
  </si>
  <si>
    <t>Life360 Inc  Com</t>
  </si>
  <si>
    <t>LIF-US</t>
  </si>
  <si>
    <t>Taysha Gene Therapies Inc  Com</t>
  </si>
  <si>
    <t>TSHA-US</t>
  </si>
  <si>
    <t>Cvr Energy Inc  Com</t>
  </si>
  <si>
    <t>CVI-US</t>
  </si>
  <si>
    <t>89Bio Inc  Com</t>
  </si>
  <si>
    <t>ETNB-US</t>
  </si>
  <si>
    <t>Flushing Financial Corp  Com</t>
  </si>
  <si>
    <t>FFIC-US</t>
  </si>
  <si>
    <t>Tyra Biosciences Inc  Com</t>
  </si>
  <si>
    <t>TYRA-US</t>
  </si>
  <si>
    <t>Advantage Solutions Inc  Com</t>
  </si>
  <si>
    <t>ADV-US</t>
  </si>
  <si>
    <t>Larimar Therapeutics Inc  Com</t>
  </si>
  <si>
    <t>LRMR-US</t>
  </si>
  <si>
    <t>Stem Inc  Com</t>
  </si>
  <si>
    <t>STEM-US</t>
  </si>
  <si>
    <t>Coherus Biosciences Inc  Com</t>
  </si>
  <si>
    <t>CHRS-US</t>
  </si>
  <si>
    <t>Tpi Composites Inc  Com</t>
  </si>
  <si>
    <t>TPIC-US</t>
  </si>
  <si>
    <t>Merck &amp; Co Inc  Com</t>
  </si>
  <si>
    <t>MRK-US</t>
  </si>
  <si>
    <t>Trade Desk Inc  Cl A</t>
  </si>
  <si>
    <t>TTD-US</t>
  </si>
  <si>
    <t>Vontier Corp  Com</t>
  </si>
  <si>
    <t>VNT-US</t>
  </si>
  <si>
    <t>Celsius Holdings Inc  Com</t>
  </si>
  <si>
    <t>CELH-US</t>
  </si>
  <si>
    <t>Silgan Holdings Inc  Com</t>
  </si>
  <si>
    <t>SLGN-US</t>
  </si>
  <si>
    <t>First Financial Bancorp/Oh  Com</t>
  </si>
  <si>
    <t>FFBC-US</t>
  </si>
  <si>
    <t>Customers Bancorp Inc  Com</t>
  </si>
  <si>
    <t>CUBI-US</t>
  </si>
  <si>
    <t>Healthcare Services Group Inc  Com</t>
  </si>
  <si>
    <t>HCSG-US</t>
  </si>
  <si>
    <t>El Pollo Loco Holdings Inc  Com</t>
  </si>
  <si>
    <t>LOCO-US</t>
  </si>
  <si>
    <t>Consolidated Water Co Ltd  Ord</t>
  </si>
  <si>
    <t>CWCO-US</t>
  </si>
  <si>
    <t>Hbt Financial Inc  Com</t>
  </si>
  <si>
    <t>HBT-US</t>
  </si>
  <si>
    <t>Onity Group Inc  Com</t>
  </si>
  <si>
    <t>ONIT-US</t>
  </si>
  <si>
    <t>First Foundation Inc  Com</t>
  </si>
  <si>
    <t>FFWM-US</t>
  </si>
  <si>
    <t>Quanta Services Inc  Com</t>
  </si>
  <si>
    <t>PWR-US</t>
  </si>
  <si>
    <t>East West Bancorp Inc  Com</t>
  </si>
  <si>
    <t>EWBC-US</t>
  </si>
  <si>
    <t>Southern Copper Corp  Com</t>
  </si>
  <si>
    <t>SCCO-US</t>
  </si>
  <si>
    <t>Xp Inc  Cl A</t>
  </si>
  <si>
    <t>XP-US</t>
  </si>
  <si>
    <t>Arcellx Inc  Com</t>
  </si>
  <si>
    <t>ACLX-US</t>
  </si>
  <si>
    <t>Nuscale Power Corp  Cl A</t>
  </si>
  <si>
    <t>SMR-US</t>
  </si>
  <si>
    <t>Pebblebrook Hotel Trust  Com</t>
  </si>
  <si>
    <t>PEB-US</t>
  </si>
  <si>
    <t>Pagseguro Digital Ltd  Cl A</t>
  </si>
  <si>
    <t>PAGS-US</t>
  </si>
  <si>
    <t>Granite Ridge Resources Inc  Com</t>
  </si>
  <si>
    <t>GRNT-US</t>
  </si>
  <si>
    <t>Xperi Inc  Com</t>
  </si>
  <si>
    <t>XPER-US</t>
  </si>
  <si>
    <t>Energy Vault Holdings Inc  Com</t>
  </si>
  <si>
    <t>NRGV-US</t>
  </si>
  <si>
    <t>Orthopediatrics Corp  Com</t>
  </si>
  <si>
    <t>KIDS-US</t>
  </si>
  <si>
    <t>Servicenow Inc  Com</t>
  </si>
  <si>
    <t>NOW-US</t>
  </si>
  <si>
    <t>Morgan Stanley  Com</t>
  </si>
  <si>
    <t>MS-US</t>
  </si>
  <si>
    <t>Nextera Energy Inc  Com</t>
  </si>
  <si>
    <t>NEE-US</t>
  </si>
  <si>
    <t>Charles Schwab Corp  Com</t>
  </si>
  <si>
    <t>SCHW-US</t>
  </si>
  <si>
    <t>Equinix Inc  Com</t>
  </si>
  <si>
    <t>EQIX-US</t>
  </si>
  <si>
    <t>Welltower Inc  Com</t>
  </si>
  <si>
    <t>WELL-US</t>
  </si>
  <si>
    <t>Cheniere Energy Inc  Com</t>
  </si>
  <si>
    <t>LNG-US</t>
  </si>
  <si>
    <t>Republic Services Inc  Com</t>
  </si>
  <si>
    <t>RSG-US</t>
  </si>
  <si>
    <t>Kenvue Inc  Com</t>
  </si>
  <si>
    <t>KVUE-US</t>
  </si>
  <si>
    <t>Extra Space Storage Inc  Com</t>
  </si>
  <si>
    <t>EXR-US</t>
  </si>
  <si>
    <t>Archer Daniels Midland Co  Com</t>
  </si>
  <si>
    <t>ADM-US</t>
  </si>
  <si>
    <t>Waters Corp  Com</t>
  </si>
  <si>
    <t>WAT-US</t>
  </si>
  <si>
    <t>Sba Communications Corp  Com</t>
  </si>
  <si>
    <t>SBAC-US</t>
  </si>
  <si>
    <t>Pinterest Inc  Cl A</t>
  </si>
  <si>
    <t>PINS-US</t>
  </si>
  <si>
    <t>Verisign Inc  Com</t>
  </si>
  <si>
    <t>VRSN-US</t>
  </si>
  <si>
    <t>Manhattan Associates Inc  Com</t>
  </si>
  <si>
    <t>MANH-US</t>
  </si>
  <si>
    <t>Udr Inc  Com</t>
  </si>
  <si>
    <t>UDR-US</t>
  </si>
  <si>
    <t>Unum Group Com</t>
  </si>
  <si>
    <t>UNM-US</t>
  </si>
  <si>
    <t>Assurant Inc  Com</t>
  </si>
  <si>
    <t>AIZ-US</t>
  </si>
  <si>
    <t>Interpublic Group Of Cos  Com</t>
  </si>
  <si>
    <t>IPG-US</t>
  </si>
  <si>
    <t>American Financial Group Inc  Com</t>
  </si>
  <si>
    <t>AFG-US</t>
  </si>
  <si>
    <t>Skechers Usa Inc  Cl A</t>
  </si>
  <si>
    <t>SKX-US</t>
  </si>
  <si>
    <t>Kinsale Capital Group Inc  Com</t>
  </si>
  <si>
    <t>KNSL-US</t>
  </si>
  <si>
    <t>Royal Gold Inc  Com</t>
  </si>
  <si>
    <t>RGLD-US</t>
  </si>
  <si>
    <t>Apa Corp  Com</t>
  </si>
  <si>
    <t>APA-US</t>
  </si>
  <si>
    <t>Old Republic Intl Corp  Com</t>
  </si>
  <si>
    <t>ORI-US</t>
  </si>
  <si>
    <t>Wingstop Inc  Com</t>
  </si>
  <si>
    <t>WING-US</t>
  </si>
  <si>
    <t>Wintrust Financial Corp  Com</t>
  </si>
  <si>
    <t>WTFC-US</t>
  </si>
  <si>
    <t>Wesco International Inc  Com</t>
  </si>
  <si>
    <t>WCC-US</t>
  </si>
  <si>
    <t>Eastgroup Properties Inc  Com</t>
  </si>
  <si>
    <t>EGP-US</t>
  </si>
  <si>
    <t>Graphic Packaging Holding  Com</t>
  </si>
  <si>
    <t>GPK-US</t>
  </si>
  <si>
    <t>Agree Realty Corp  Com</t>
  </si>
  <si>
    <t>ADC-US</t>
  </si>
  <si>
    <t>Vornado Realty Trust  Sbi</t>
  </si>
  <si>
    <t>VNO-US</t>
  </si>
  <si>
    <t>Voya Financial Inc  Com</t>
  </si>
  <si>
    <t>VOYA-US</t>
  </si>
  <si>
    <t>Bentley Systems Inc  Cl B</t>
  </si>
  <si>
    <t>BSY-US</t>
  </si>
  <si>
    <t>Invesco Ltd  Com</t>
  </si>
  <si>
    <t>IVZ-US</t>
  </si>
  <si>
    <t>Jackson Financial Inc /Mi/  Cl A</t>
  </si>
  <si>
    <t>JXN-US</t>
  </si>
  <si>
    <t>Mohawk Industries Inc  Com</t>
  </si>
  <si>
    <t>MHK-US</t>
  </si>
  <si>
    <t>Taylor Morrison Home Corp  Cl A</t>
  </si>
  <si>
    <t>TMHC-US</t>
  </si>
  <si>
    <t>Aurora Innovation Inc  Cl A</t>
  </si>
  <si>
    <t>AUR-US</t>
  </si>
  <si>
    <t>Mr Cooper Group Inc  Com</t>
  </si>
  <si>
    <t>COOP-US</t>
  </si>
  <si>
    <t>Rithm Capital Corp  Com</t>
  </si>
  <si>
    <t>RITM-US</t>
  </si>
  <si>
    <t>Lincoln National Corp  Com</t>
  </si>
  <si>
    <t>LNC-US</t>
  </si>
  <si>
    <t>Ccc Intelligent Solutions Hldgs  Com</t>
  </si>
  <si>
    <t>CCCS-US</t>
  </si>
  <si>
    <t>Piper Sandler Cos  Com</t>
  </si>
  <si>
    <t>PIPR-US</t>
  </si>
  <si>
    <t>Dycom Industries Inc  Com</t>
  </si>
  <si>
    <t>DY-US</t>
  </si>
  <si>
    <t>Sm Energy Co   Com</t>
  </si>
  <si>
    <t>SM-US</t>
  </si>
  <si>
    <t>Belden Inc  Com</t>
  </si>
  <si>
    <t>BDC-US</t>
  </si>
  <si>
    <t>White Mountains Insurance Group  Com</t>
  </si>
  <si>
    <t>WTM-US</t>
  </si>
  <si>
    <t>Sealed Air Corp  Com</t>
  </si>
  <si>
    <t>SEE-US</t>
  </si>
  <si>
    <t>Acadia Healthcare Co Inc  Com</t>
  </si>
  <si>
    <t>ACHC-US</t>
  </si>
  <si>
    <t>Verra Mobility Corp  Cl A</t>
  </si>
  <si>
    <t>VRRM-US</t>
  </si>
  <si>
    <t>Installed Building Products Inc  Com</t>
  </si>
  <si>
    <t>IBP-US</t>
  </si>
  <si>
    <t>Flowers Foods Inc  Com</t>
  </si>
  <si>
    <t>FLO-US</t>
  </si>
  <si>
    <t>One Gas Inc  Com</t>
  </si>
  <si>
    <t>OGS-US</t>
  </si>
  <si>
    <t>Apple Hospitality Reit Inc  Com</t>
  </si>
  <si>
    <t>APLE-US</t>
  </si>
  <si>
    <t>Northern Oil &amp; Gas Inc  Com</t>
  </si>
  <si>
    <t>NOG-US</t>
  </si>
  <si>
    <t>Terex Corp  Com</t>
  </si>
  <si>
    <t>TEX-US</t>
  </si>
  <si>
    <t>Genworth Financial Inc  Cl A</t>
  </si>
  <si>
    <t>GNW-US</t>
  </si>
  <si>
    <t>First Bancorp /Pr/  Com</t>
  </si>
  <si>
    <t>FBP-US</t>
  </si>
  <si>
    <t>Hub Group Inc  Cl A</t>
  </si>
  <si>
    <t>HUBG-US</t>
  </si>
  <si>
    <t>Trinet Group Inc  Com</t>
  </si>
  <si>
    <t>TNET-US</t>
  </si>
  <si>
    <t>Crane Nxt Co  Com</t>
  </si>
  <si>
    <t>CXT-US</t>
  </si>
  <si>
    <t>Doubleverify Holdings Inc  Com</t>
  </si>
  <si>
    <t>DV-US</t>
  </si>
  <si>
    <t>Bancfirst Corp  Com</t>
  </si>
  <si>
    <t>BANF-US</t>
  </si>
  <si>
    <t>Evertec Inc  Com</t>
  </si>
  <si>
    <t>EVTC-US</t>
  </si>
  <si>
    <t>Neogenomics Inc  Com</t>
  </si>
  <si>
    <t>NEO-US</t>
  </si>
  <si>
    <t>Howard Hughes Holding Corp  Com</t>
  </si>
  <si>
    <t>HHH-US</t>
  </si>
  <si>
    <t>Sotera Health Co  Com</t>
  </si>
  <si>
    <t>SHC-US</t>
  </si>
  <si>
    <t>Fb Financial Corp  Com</t>
  </si>
  <si>
    <t>FBK-US</t>
  </si>
  <si>
    <t>Perdoceo Education Corp  Com</t>
  </si>
  <si>
    <t>PRDO-US</t>
  </si>
  <si>
    <t>Dynavax Technologies Corp  Com</t>
  </si>
  <si>
    <t>DVAX-US</t>
  </si>
  <si>
    <t>Perimeter Solutions Inc  Com</t>
  </si>
  <si>
    <t>PRM-US</t>
  </si>
  <si>
    <t>Teladoc Health Inc  Com</t>
  </si>
  <si>
    <t>TDOC-US</t>
  </si>
  <si>
    <t>Global Net Lease Inc  Com</t>
  </si>
  <si>
    <t>GNL-US</t>
  </si>
  <si>
    <t>Maxlinear Inc  Com</t>
  </si>
  <si>
    <t>MXL-US</t>
  </si>
  <si>
    <t>Ssr Mining Inc  Com</t>
  </si>
  <si>
    <t>SSRM-CA</t>
  </si>
  <si>
    <t>Progyny Inc  Com</t>
  </si>
  <si>
    <t>PGNY-US</t>
  </si>
  <si>
    <t>Talos Energy Inc  Com</t>
  </si>
  <si>
    <t>TALO-US</t>
  </si>
  <si>
    <t>Hope Bancorp Inc  Com</t>
  </si>
  <si>
    <t>HOPE-US</t>
  </si>
  <si>
    <t>Navient Corp  Com</t>
  </si>
  <si>
    <t>NAVI-US</t>
  </si>
  <si>
    <t>Uniti Group Inc  Com</t>
  </si>
  <si>
    <t>UNIT-US</t>
  </si>
  <si>
    <t>Northwest Natural Holding Co  Com</t>
  </si>
  <si>
    <t>NWN-US</t>
  </si>
  <si>
    <t>First Bancshares Inc Ms  Com</t>
  </si>
  <si>
    <t>FBMS-US</t>
  </si>
  <si>
    <t>Employers Holdings Inc  Com</t>
  </si>
  <si>
    <t>EIG-US</t>
  </si>
  <si>
    <t>Trico Bancshares  Com</t>
  </si>
  <si>
    <t>TCBK-US</t>
  </si>
  <si>
    <t>Dime Community Bancshares Inc  Com</t>
  </si>
  <si>
    <t>DCOM-US</t>
  </si>
  <si>
    <t>Proto Labs Inc  Com</t>
  </si>
  <si>
    <t>PRLB-US</t>
  </si>
  <si>
    <t>Brandywine Realty Trust  Sbi</t>
  </si>
  <si>
    <t>BDN-US</t>
  </si>
  <si>
    <t>Vital Energy Inc  Com</t>
  </si>
  <si>
    <t>VTLE-US</t>
  </si>
  <si>
    <t>Caleres Inc  Com</t>
  </si>
  <si>
    <t>CAL-US</t>
  </si>
  <si>
    <t>Day One Biopharmaceuticals Inc  Com</t>
  </si>
  <si>
    <t>DAWN-US</t>
  </si>
  <si>
    <t>Pennant Group Inc  Com</t>
  </si>
  <si>
    <t>PNTG-US</t>
  </si>
  <si>
    <t>Sunopta Inc  Com</t>
  </si>
  <si>
    <t>STKL-US</t>
  </si>
  <si>
    <t>Mercantile Bank Corp  Com</t>
  </si>
  <si>
    <t>MBWM-US</t>
  </si>
  <si>
    <t>Smartfinancial Inc  Com</t>
  </si>
  <si>
    <t>SMBK-US</t>
  </si>
  <si>
    <t>Heidrick &amp; Struggles Intl  Com</t>
  </si>
  <si>
    <t>HSII-US</t>
  </si>
  <si>
    <t>Northrim Bancorp Inc  Com</t>
  </si>
  <si>
    <t>NRIM-US</t>
  </si>
  <si>
    <t>Maravai Lifesciences Holdings  Cl A</t>
  </si>
  <si>
    <t>MRVI-US</t>
  </si>
  <si>
    <t>Solarwinds Corp  Com</t>
  </si>
  <si>
    <t>SWI-US</t>
  </si>
  <si>
    <t>Dianthus Therapeutics Inc  Com</t>
  </si>
  <si>
    <t>DNTH-US</t>
  </si>
  <si>
    <t>Northeast Community Bancorp Inc  Com</t>
  </si>
  <si>
    <t>NECB-US</t>
  </si>
  <si>
    <t>Golden Entertainment Inc  Com</t>
  </si>
  <si>
    <t>GDEN-US</t>
  </si>
  <si>
    <t>Business First Bancshares Inc  Com</t>
  </si>
  <si>
    <t>BFST-US</t>
  </si>
  <si>
    <t>Castle Biosciences Inc  Com</t>
  </si>
  <si>
    <t>CSTL-US</t>
  </si>
  <si>
    <t>Heritage Commerce Corp  Com</t>
  </si>
  <si>
    <t>HTBK-US</t>
  </si>
  <si>
    <t>Lsb Industries Inc  Com</t>
  </si>
  <si>
    <t>LXU-US</t>
  </si>
  <si>
    <t>Marcus Corp  Com</t>
  </si>
  <si>
    <t>MCS-US</t>
  </si>
  <si>
    <t>Mgp Ingredients Inc  Com</t>
  </si>
  <si>
    <t>MGPI-US</t>
  </si>
  <si>
    <t>Bandwidth Inc  Cl A</t>
  </si>
  <si>
    <t>BAND-US</t>
  </si>
  <si>
    <t>Mister Car Wash Inc  Com</t>
  </si>
  <si>
    <t>MCW-US</t>
  </si>
  <si>
    <t>Esperion Therapeutics Inc  Com</t>
  </si>
  <si>
    <t>ESPR-US</t>
  </si>
  <si>
    <t>Paysafe Ltd  Com</t>
  </si>
  <si>
    <t>PSFE-US</t>
  </si>
  <si>
    <t>Distribution Solutions Group Inc Com</t>
  </si>
  <si>
    <t>DSGR-US</t>
  </si>
  <si>
    <t>Fs Bancorp Inc  Com</t>
  </si>
  <si>
    <t>FSBW-US</t>
  </si>
  <si>
    <t>Truecar Inc  Com</t>
  </si>
  <si>
    <t>TRUE-US</t>
  </si>
  <si>
    <t>Genco Shipping &amp; Trading Ltd  Com</t>
  </si>
  <si>
    <t>GNK-US</t>
  </si>
  <si>
    <t>Ranpak Holdings Corp  Cl A</t>
  </si>
  <si>
    <t>PACK-US</t>
  </si>
  <si>
    <t>B&amp;G Foods Inc  Cl A</t>
  </si>
  <si>
    <t>BGS-US</t>
  </si>
  <si>
    <t>Alexanders Inc  Com</t>
  </si>
  <si>
    <t>ALX-US</t>
  </si>
  <si>
    <t>Berry Corp  Com</t>
  </si>
  <si>
    <t>BRY-US</t>
  </si>
  <si>
    <t>Target Hospitality Corp  Com</t>
  </si>
  <si>
    <t>TH-US</t>
  </si>
  <si>
    <t>Irobot Corp  Com</t>
  </si>
  <si>
    <t>IRBT-US</t>
  </si>
  <si>
    <t>Frontier Group Holdings Inc  Com</t>
  </si>
  <si>
    <t>ULCC-US</t>
  </si>
  <si>
    <t>Ring Energy Inc  Com</t>
  </si>
  <si>
    <t>REI-US</t>
  </si>
  <si>
    <t>Phathom Pharmaceuticals Inc  Com</t>
  </si>
  <si>
    <t>PHAT-US</t>
  </si>
  <si>
    <t>Beyond Meat Inc  Com</t>
  </si>
  <si>
    <t>BYND-US</t>
  </si>
  <si>
    <t>Re Max Holdings Inc  Cl A</t>
  </si>
  <si>
    <t>RMAX-US</t>
  </si>
  <si>
    <t>Advanced Flower Capital Inc  Com</t>
  </si>
  <si>
    <t>AFCG-US</t>
  </si>
  <si>
    <t>Thredup Inc  Cl A</t>
  </si>
  <si>
    <t>TDUP-US</t>
  </si>
  <si>
    <t>Cardlytics Inc  Com</t>
  </si>
  <si>
    <t>CDLX-US</t>
  </si>
  <si>
    <t>Nevro Corp  Com</t>
  </si>
  <si>
    <t>NVRO-US</t>
  </si>
  <si>
    <t>Amazon Com Inc  Com</t>
  </si>
  <si>
    <t>AMZN-US</t>
  </si>
  <si>
    <t>Mcdonalds Corp  Com</t>
  </si>
  <si>
    <t>MCD-US</t>
  </si>
  <si>
    <t>Thermo Fisher Scientific Inc  Com</t>
  </si>
  <si>
    <t>TMO-US</t>
  </si>
  <si>
    <t>Paypal Holdings Inc  Com</t>
  </si>
  <si>
    <t>PYPL-US</t>
  </si>
  <si>
    <t>Southern Co  Com</t>
  </si>
  <si>
    <t>SO-US</t>
  </si>
  <si>
    <t>American Tower Corp  Cl A</t>
  </si>
  <si>
    <t>AMT-US</t>
  </si>
  <si>
    <t>Mondelez International Inc  Cl A</t>
  </si>
  <si>
    <t>MDLZ-US</t>
  </si>
  <si>
    <t>Zoetis Inc  Cl A</t>
  </si>
  <si>
    <t>ZTS-US</t>
  </si>
  <si>
    <t>Eog Resources Inc  Com</t>
  </si>
  <si>
    <t>EOG-US</t>
  </si>
  <si>
    <t>Microstrategy Inc  Cl A</t>
  </si>
  <si>
    <t>MSTR-US</t>
  </si>
  <si>
    <t>Oneok Inc  Com</t>
  </si>
  <si>
    <t>OKE-US</t>
  </si>
  <si>
    <t>Ross Stores Inc  Com</t>
  </si>
  <si>
    <t>ROST-US</t>
  </si>
  <si>
    <t>Howmet Aerospace Inc  Com</t>
  </si>
  <si>
    <t>HWM-US</t>
  </si>
  <si>
    <t>Cbre Group Inc  Com</t>
  </si>
  <si>
    <t>CBRE-US</t>
  </si>
  <si>
    <t>Crown Castle Inc  Com</t>
  </si>
  <si>
    <t>CCI-US</t>
  </si>
  <si>
    <t>Xcel Energy Inc  Com</t>
  </si>
  <si>
    <t>XEL-US</t>
  </si>
  <si>
    <t>United Airlines Holdings Inc  Com</t>
  </si>
  <si>
    <t>UAL-US</t>
  </si>
  <si>
    <t>Dexcom Inc  Com</t>
  </si>
  <si>
    <t>DXCM-US</t>
  </si>
  <si>
    <t>Firstenergy Corp  Com</t>
  </si>
  <si>
    <t>FE-US</t>
  </si>
  <si>
    <t>Markel Group Inc  Com</t>
  </si>
  <si>
    <t>MKL-US</t>
  </si>
  <si>
    <t>Insulet Corp  Com</t>
  </si>
  <si>
    <t>PODD-US</t>
  </si>
  <si>
    <t>Burlington Stores Inc  Com</t>
  </si>
  <si>
    <t>BURL-US</t>
  </si>
  <si>
    <t>Align Technology Inc  Com</t>
  </si>
  <si>
    <t>ALGN-US</t>
  </si>
  <si>
    <t>Equitable Holdings Inc  Com</t>
  </si>
  <si>
    <t>EQH-US</t>
  </si>
  <si>
    <t>Reinsurance Group Of America  Com</t>
  </si>
  <si>
    <t>RGA-US</t>
  </si>
  <si>
    <t>Sprouts Farmers Market Inc  Com</t>
  </si>
  <si>
    <t>SFM-US</t>
  </si>
  <si>
    <t>Neurocrine Biosciences Inc  Com</t>
  </si>
  <si>
    <t>NBIX-US</t>
  </si>
  <si>
    <t>Jones Lang Lasalle Inc  Com</t>
  </si>
  <si>
    <t>JLL-US</t>
  </si>
  <si>
    <t>Tenet Healthcare Corp  Com</t>
  </si>
  <si>
    <t>THC-US</t>
  </si>
  <si>
    <t>Clean Harbors Inc  Com</t>
  </si>
  <si>
    <t>CLH-US</t>
  </si>
  <si>
    <t>Bxp Inc  Com</t>
  </si>
  <si>
    <t>BXP-US</t>
  </si>
  <si>
    <t>Permian Resources Corp  Cl A</t>
  </si>
  <si>
    <t>PR-US</t>
  </si>
  <si>
    <t>Onto Innovation Inc  Com</t>
  </si>
  <si>
    <t>ONTO-US</t>
  </si>
  <si>
    <t>Pinnacle West Capital Corp  Com</t>
  </si>
  <si>
    <t>PNW-US</t>
  </si>
  <si>
    <t>Americold Realty Trust Inc  Com</t>
  </si>
  <si>
    <t>COLD-US</t>
  </si>
  <si>
    <t>Affiliated Managers Group Inc  Com</t>
  </si>
  <si>
    <t>AMG-US</t>
  </si>
  <si>
    <t>Hf Sinclair Corp  Com</t>
  </si>
  <si>
    <t>DINO-US</t>
  </si>
  <si>
    <t>Watts Water Technologies Inc  Cl A</t>
  </si>
  <si>
    <t>WTS-US</t>
  </si>
  <si>
    <t>Tenable Holdings Inc  Com</t>
  </si>
  <si>
    <t>TENB-US</t>
  </si>
  <si>
    <t>Radian Group Inc  Com</t>
  </si>
  <si>
    <t>RDN-US</t>
  </si>
  <si>
    <t>Kilroy Realty Corp  Com</t>
  </si>
  <si>
    <t>KRC-US</t>
  </si>
  <si>
    <t>Integer Holdings Corp  Com</t>
  </si>
  <si>
    <t>ITGR-US</t>
  </si>
  <si>
    <t>Dentsply Sirona Inc  Com</t>
  </si>
  <si>
    <t>XRAY-US</t>
  </si>
  <si>
    <t>Telephone &amp; Data Systems Inc  Com</t>
  </si>
  <si>
    <t>TDS-US</t>
  </si>
  <si>
    <t>Madden Steven Ltd  Com</t>
  </si>
  <si>
    <t>SHOO-US</t>
  </si>
  <si>
    <t>Heartland Financial Usa Inc  Com</t>
  </si>
  <si>
    <t>HTLF-US</t>
  </si>
  <si>
    <t>National Health Investors Inc  Com</t>
  </si>
  <si>
    <t>NHI-US</t>
  </si>
  <si>
    <t>First Interstate Bancsystem  Com</t>
  </si>
  <si>
    <t>FIBK-US</t>
  </si>
  <si>
    <t>Advance Auto Parts Inc  Com</t>
  </si>
  <si>
    <t>AAP-US</t>
  </si>
  <si>
    <t>Nordstrom Inc  Com</t>
  </si>
  <si>
    <t>JWN-US</t>
  </si>
  <si>
    <t>Banner Corp  Com</t>
  </si>
  <si>
    <t>BANR-US</t>
  </si>
  <si>
    <t>Tandem Diabetes Care Inc  Com</t>
  </si>
  <si>
    <t>TNDM-US</t>
  </si>
  <si>
    <t>Privia Health Group Inc  Com</t>
  </si>
  <si>
    <t>PRVA-US</t>
  </si>
  <si>
    <t>Arbor Realty Trust Inc  Com</t>
  </si>
  <si>
    <t>ABR-US</t>
  </si>
  <si>
    <t>Gulfport Energy Corp  Com</t>
  </si>
  <si>
    <t>GPOR-US</t>
  </si>
  <si>
    <t>Conmed Corp  Com</t>
  </si>
  <si>
    <t>CNMD-US</t>
  </si>
  <si>
    <t>Adt Inc  Com</t>
  </si>
  <si>
    <t>ADT-US</t>
  </si>
  <si>
    <t>Dyne Therapeutics Inc  Com</t>
  </si>
  <si>
    <t>DYN-US</t>
  </si>
  <si>
    <t>Benchmark Electronics Inc  Com</t>
  </si>
  <si>
    <t>BHE-US</t>
  </si>
  <si>
    <t>Avis Budget Group Inc  Com</t>
  </si>
  <si>
    <t>CAR-US</t>
  </si>
  <si>
    <t>Ultra Clean Hldgs Inc  Com</t>
  </si>
  <si>
    <t>UCTT-US</t>
  </si>
  <si>
    <t>Sprout Social Inc  Cl A</t>
  </si>
  <si>
    <t>SPT-US</t>
  </si>
  <si>
    <t>Horace Mann Educators Corp  Com</t>
  </si>
  <si>
    <t>HMN-US</t>
  </si>
  <si>
    <t>Perella Weinberg Partner  Cl A</t>
  </si>
  <si>
    <t>PWP-US</t>
  </si>
  <si>
    <t>Dnow Inc  Com</t>
  </si>
  <si>
    <t>DNOW-US</t>
  </si>
  <si>
    <t>Sandy Spring Bancorp Inc  Com</t>
  </si>
  <si>
    <t>SASR-US</t>
  </si>
  <si>
    <t>Air Transport Services Group  Com</t>
  </si>
  <si>
    <t>ATSG-US</t>
  </si>
  <si>
    <t>Tutor Perini Corp  Com</t>
  </si>
  <si>
    <t>TPC-US</t>
  </si>
  <si>
    <t>Ltc Properties Inc  Com</t>
  </si>
  <si>
    <t>LTC-US</t>
  </si>
  <si>
    <t>Everi Holdings Inc  Com</t>
  </si>
  <si>
    <t>EVRI-US</t>
  </si>
  <si>
    <t>First Busey Corp  Com</t>
  </si>
  <si>
    <t>BUSE-US</t>
  </si>
  <si>
    <t>Xerox Holdings Corp  Com</t>
  </si>
  <si>
    <t>XRX-US</t>
  </si>
  <si>
    <t>Cbl &amp; Associates Properties Inc  Com</t>
  </si>
  <si>
    <t>CBL-US</t>
  </si>
  <si>
    <t>Willis Lease Finance Corp  Com</t>
  </si>
  <si>
    <t>WLFC-US</t>
  </si>
  <si>
    <t>Coastal Financial Corp  Com</t>
  </si>
  <si>
    <t>CCB-US</t>
  </si>
  <si>
    <t>Weave Communications Inc  Com</t>
  </si>
  <si>
    <t>WEAV-US</t>
  </si>
  <si>
    <t>Wabash National Corp  Com</t>
  </si>
  <si>
    <t>WNC-US</t>
  </si>
  <si>
    <t>Summit Hotel Properties Inc  Com</t>
  </si>
  <si>
    <t>INN-US</t>
  </si>
  <si>
    <t>Proassurance Corp  Com</t>
  </si>
  <si>
    <t>PRA-US</t>
  </si>
  <si>
    <t>Nb Bancorp Inc  Com</t>
  </si>
  <si>
    <t>NBBK-US</t>
  </si>
  <si>
    <t>N Able Inc  Com</t>
  </si>
  <si>
    <t>NABL-US</t>
  </si>
  <si>
    <t>Spartannash Co  Com</t>
  </si>
  <si>
    <t>SPTN-US</t>
  </si>
  <si>
    <t>Arbutus Biopharma Corp  Com</t>
  </si>
  <si>
    <t>ABUS-US</t>
  </si>
  <si>
    <t>Skywater Technology Inc  Com</t>
  </si>
  <si>
    <t>SKYT-US</t>
  </si>
  <si>
    <t>Open Lending Corp  Com</t>
  </si>
  <si>
    <t>LPRO-US</t>
  </si>
  <si>
    <t>Hertz Global Holdings Inc  Com</t>
  </si>
  <si>
    <t>HTZ-US</t>
  </si>
  <si>
    <t>Carter Bankshares Inc  Com</t>
  </si>
  <si>
    <t>CARE-US</t>
  </si>
  <si>
    <t>Northfield Bancorp Inc  Com</t>
  </si>
  <si>
    <t>NFBK-US</t>
  </si>
  <si>
    <t>Green Dot Corp  Cl A</t>
  </si>
  <si>
    <t>GDOT-US</t>
  </si>
  <si>
    <t>First Watch Restaurant Group  Com</t>
  </si>
  <si>
    <t>FWRG-US</t>
  </si>
  <si>
    <t>Honest Co Inc  Com</t>
  </si>
  <si>
    <t>HNST-US</t>
  </si>
  <si>
    <t>Rigel Pharmaceuticals Inc  Com</t>
  </si>
  <si>
    <t>RIGL-US</t>
  </si>
  <si>
    <t>Mineralys Therapeutics Inc  Com</t>
  </si>
  <si>
    <t>MLYS-US</t>
  </si>
  <si>
    <t>Vishay Precision Group Inc  Com</t>
  </si>
  <si>
    <t>VPG-US</t>
  </si>
  <si>
    <t>Solid Power Inc  Cl A</t>
  </si>
  <si>
    <t>SLDP-US</t>
  </si>
  <si>
    <t>Lightwave Logic Inc  Com</t>
  </si>
  <si>
    <t>LWLG-US</t>
  </si>
  <si>
    <t>Ares Commercial Real Estate Corp Com</t>
  </si>
  <si>
    <t>ACRE-US</t>
  </si>
  <si>
    <t>Sierra Bancorp  Com</t>
  </si>
  <si>
    <t>BSRR-US</t>
  </si>
  <si>
    <t>Altus Power Inc  Cl A</t>
  </si>
  <si>
    <t>AMPS-US</t>
  </si>
  <si>
    <t>Inspired Entertainment Inc  Com</t>
  </si>
  <si>
    <t>INSE-US</t>
  </si>
  <si>
    <t>Definitive Healthcare Corp  Cl A</t>
  </si>
  <si>
    <t>DH-US</t>
  </si>
  <si>
    <t>Ttec Holdings Inc  Com</t>
  </si>
  <si>
    <t>TTEC-US</t>
  </si>
  <si>
    <t>Jpmorgan Chase &amp; Co  Com</t>
  </si>
  <si>
    <t>JPM-US</t>
  </si>
  <si>
    <t>Ge Healthcare Technologies  Com Wi</t>
  </si>
  <si>
    <t>GEHC-US</t>
  </si>
  <si>
    <t>Veralto Corp  Com</t>
  </si>
  <si>
    <t>VLTO-US</t>
  </si>
  <si>
    <t>Cdw Corp  Com</t>
  </si>
  <si>
    <t>CDW-US</t>
  </si>
  <si>
    <t>Principal Financial Group Inc  Com</t>
  </si>
  <si>
    <t>PFG-US</t>
  </si>
  <si>
    <t>Mid America Apt Communities  Com</t>
  </si>
  <si>
    <t>MAA-US</t>
  </si>
  <si>
    <t>Sofi Technologies Inc  Com</t>
  </si>
  <si>
    <t>SOFI-US</t>
  </si>
  <si>
    <t>Biomarin Pharmaceutical Inc  Com</t>
  </si>
  <si>
    <t>BMRN-US</t>
  </si>
  <si>
    <t>Henry Schein Inc  Com</t>
  </si>
  <si>
    <t>HSIC-US</t>
  </si>
  <si>
    <t>Cubesmart  Com</t>
  </si>
  <si>
    <t>CUBE-US</t>
  </si>
  <si>
    <t>Chart Industries Inc  Com</t>
  </si>
  <si>
    <t>GTLS-US</t>
  </si>
  <si>
    <t>Aaon Inc  Com</t>
  </si>
  <si>
    <t>AAON-US</t>
  </si>
  <si>
    <t>First American Financial Corp  Com</t>
  </si>
  <si>
    <t>FAF-US</t>
  </si>
  <si>
    <t>Summit Materials Inc  Cl A</t>
  </si>
  <si>
    <t>SUM-US</t>
  </si>
  <si>
    <t>Healthcare Realty Trust Inc  Cl A</t>
  </si>
  <si>
    <t>HR-US</t>
  </si>
  <si>
    <t>Gxo Logistics Inc  Com</t>
  </si>
  <si>
    <t>GXO-US</t>
  </si>
  <si>
    <t>Noble Corp Plc  Cl A</t>
  </si>
  <si>
    <t>NE-US</t>
  </si>
  <si>
    <t>Kratos Defense &amp; Sec Sol Inc   Com</t>
  </si>
  <si>
    <t>KTOS-US</t>
  </si>
  <si>
    <t>Viking Therapeutics Inc  Com</t>
  </si>
  <si>
    <t>VKTX-US</t>
  </si>
  <si>
    <t>Valley National Bancorp  Com</t>
  </si>
  <si>
    <t>VLY-US</t>
  </si>
  <si>
    <t>Insight Enterprises Inc  Com</t>
  </si>
  <si>
    <t>NSIT-US</t>
  </si>
  <si>
    <t>Iridium Communications Inc  Com</t>
  </si>
  <si>
    <t>IRDM-US</t>
  </si>
  <si>
    <t>Rush Enterprises Inc  Cl A</t>
  </si>
  <si>
    <t>RUSHA-US</t>
  </si>
  <si>
    <t>Mge Energy Inc  Com</t>
  </si>
  <si>
    <t>MGEE-US</t>
  </si>
  <si>
    <t>Envista Holdings Corp  Com</t>
  </si>
  <si>
    <t>NVST-US</t>
  </si>
  <si>
    <t>American States Water Co  Com</t>
  </si>
  <si>
    <t>AWR-US</t>
  </si>
  <si>
    <t>Wendys Co  Com</t>
  </si>
  <si>
    <t>WEN-US</t>
  </si>
  <si>
    <t>Ncr Atleos Corp  Com</t>
  </si>
  <si>
    <t>NATL-US</t>
  </si>
  <si>
    <t>Insperity Inc  Com</t>
  </si>
  <si>
    <t>NSP-US</t>
  </si>
  <si>
    <t>Catalyst Pharmaceuticals Inc  Com</t>
  </si>
  <si>
    <t>CPRX-US</t>
  </si>
  <si>
    <t>Chemours Co  Com</t>
  </si>
  <si>
    <t>CC-US</t>
  </si>
  <si>
    <t>Liberty Global Ltd  Cl C</t>
  </si>
  <si>
    <t>LBTYK-US</t>
  </si>
  <si>
    <t>Lxp Industrial Trust  Com</t>
  </si>
  <si>
    <t>LXP-US</t>
  </si>
  <si>
    <t>Liberty Global Ltd  Cl A</t>
  </si>
  <si>
    <t>LBTYA-US</t>
  </si>
  <si>
    <t>Vishay Intertechnology Inc  Com</t>
  </si>
  <si>
    <t>VSH-US</t>
  </si>
  <si>
    <t>Nbt Bancorp Inc  Com</t>
  </si>
  <si>
    <t>NBTB-US</t>
  </si>
  <si>
    <t>Omnicell Inc  Com</t>
  </si>
  <si>
    <t>OMCL-US</t>
  </si>
  <si>
    <t>Seacoast Banking Corp  Com</t>
  </si>
  <si>
    <t>SBCF-US</t>
  </si>
  <si>
    <t>Foot Locker Inc  Com</t>
  </si>
  <si>
    <t>FL-US</t>
  </si>
  <si>
    <t>Vse Corp  Com</t>
  </si>
  <si>
    <t>VSEC-US</t>
  </si>
  <si>
    <t>Live Oak Bancshares Inc  Com</t>
  </si>
  <si>
    <t>LOB-US</t>
  </si>
  <si>
    <t>Certara Inc  Com</t>
  </si>
  <si>
    <t>CERT-US</t>
  </si>
  <si>
    <t>Us Physical Therapy Inc  Com</t>
  </si>
  <si>
    <t>USPH-US</t>
  </si>
  <si>
    <t>Coursera Inc  Com</t>
  </si>
  <si>
    <t>COUR-US</t>
  </si>
  <si>
    <t>Ani Pharmaceuticals Inc  Com</t>
  </si>
  <si>
    <t>ANIP-US</t>
  </si>
  <si>
    <t>Liberty Latin America Ltd  Cl C</t>
  </si>
  <si>
    <t>LILAK-US</t>
  </si>
  <si>
    <t>Monarch Casino &amp; Resort Inc  Com</t>
  </si>
  <si>
    <t>MCRI-US</t>
  </si>
  <si>
    <t>Oceanfirst Financial Corp  Com</t>
  </si>
  <si>
    <t>OCFC-US</t>
  </si>
  <si>
    <t>Array Technologies Inc  Com</t>
  </si>
  <si>
    <t>ARRY-US</t>
  </si>
  <si>
    <t>Vimeo Inc  Com</t>
  </si>
  <si>
    <t>VMEO-US</t>
  </si>
  <si>
    <t>Middlesex Water Co  Com</t>
  </si>
  <si>
    <t>MSEX-US</t>
  </si>
  <si>
    <t>Connectone Bancorp Inc  Com</t>
  </si>
  <si>
    <t>CNOB-US</t>
  </si>
  <si>
    <t>National Presto Industries Inc  Com</t>
  </si>
  <si>
    <t>NPK-US</t>
  </si>
  <si>
    <t>Old Second Bancorp Inc (Il)  Com</t>
  </si>
  <si>
    <t>OSBC-US</t>
  </si>
  <si>
    <t>Redwood Trust Inc  Com</t>
  </si>
  <si>
    <t>RWT-US</t>
  </si>
  <si>
    <t>Ceva Inc  Com</t>
  </si>
  <si>
    <t>CEVA-US</t>
  </si>
  <si>
    <t>Rush Enterprises Inc  Cl B</t>
  </si>
  <si>
    <t>RUSHB-US</t>
  </si>
  <si>
    <t>Amalgamated Financial Corp  Com</t>
  </si>
  <si>
    <t>AMAL-US</t>
  </si>
  <si>
    <t>Trustco Bank Corp Ny  Com</t>
  </si>
  <si>
    <t>TRST-US</t>
  </si>
  <si>
    <t>Tetra Technologies Inc/De  Com</t>
  </si>
  <si>
    <t>TTI-US</t>
  </si>
  <si>
    <t>Camden National Corp  Com</t>
  </si>
  <si>
    <t>CAC-US</t>
  </si>
  <si>
    <t>Acco Brands Corp  Com</t>
  </si>
  <si>
    <t>ACCO-US</t>
  </si>
  <si>
    <t>Hyliion Holdings Corp  Cl A</t>
  </si>
  <si>
    <t>HYLN-US</t>
  </si>
  <si>
    <t>Orange County Bancorp Inc  Com</t>
  </si>
  <si>
    <t>OBT-US</t>
  </si>
  <si>
    <t>Acacia Research Corp  Acacia Tech</t>
  </si>
  <si>
    <t>ACTG-US</t>
  </si>
  <si>
    <t>Mvb Financial Corp  Com</t>
  </si>
  <si>
    <t>MVBF-US</t>
  </si>
  <si>
    <t>Southern First Bancshares Inc  Com</t>
  </si>
  <si>
    <t>SFST-US</t>
  </si>
  <si>
    <t>Waterstone Financial Inc  Com</t>
  </si>
  <si>
    <t>WSBF-US</t>
  </si>
  <si>
    <t>Sleep Number Corp  Com</t>
  </si>
  <si>
    <t>SNBR-US</t>
  </si>
  <si>
    <t>Treace Medical Concepts Inc  Com</t>
  </si>
  <si>
    <t>TMCI-US</t>
  </si>
  <si>
    <t>Liberty Latin America Ltd  Cl A</t>
  </si>
  <si>
    <t>LILA-US</t>
  </si>
  <si>
    <t>4D Molecular Therapeutics Inc  Com</t>
  </si>
  <si>
    <t>FDMT-US</t>
  </si>
  <si>
    <t>Beyond Inc  Com</t>
  </si>
  <si>
    <t>BYON-US</t>
  </si>
  <si>
    <t>Macrogenics Inc  Com</t>
  </si>
  <si>
    <t>MGNX-US</t>
  </si>
  <si>
    <t>Inovio Pharmaceuticals Inc  Com</t>
  </si>
  <si>
    <t>INO-US</t>
  </si>
  <si>
    <t>Star Holdings  Com</t>
  </si>
  <si>
    <t>STHO-US</t>
  </si>
  <si>
    <t>Consolidated Edison Inc  Com</t>
  </si>
  <si>
    <t>ED-US</t>
  </si>
  <si>
    <t>Chemed Corp  Com</t>
  </si>
  <si>
    <t>CHE-US</t>
  </si>
  <si>
    <t>Servisfirst Bancshares Inc  Com</t>
  </si>
  <si>
    <t>SFBS-US</t>
  </si>
  <si>
    <t>Rxo Inc  Com</t>
  </si>
  <si>
    <t>RXO-US</t>
  </si>
  <si>
    <t>International Bancshares Corp  Com</t>
  </si>
  <si>
    <t>IBOC-US</t>
  </si>
  <si>
    <t>Fulton Financial Corp/Pa  Com</t>
  </si>
  <si>
    <t>FULT-US</t>
  </si>
  <si>
    <t>Trinity Industries Inc  Com</t>
  </si>
  <si>
    <t>TRN-US</t>
  </si>
  <si>
    <t>Enovis Corp  Com</t>
  </si>
  <si>
    <t>ENOV-US</t>
  </si>
  <si>
    <t>Kinetik Holdings Inc  Cl A</t>
  </si>
  <si>
    <t>KNTK-US</t>
  </si>
  <si>
    <t>Siriuspoint Ltd  Com</t>
  </si>
  <si>
    <t>SPNT-US</t>
  </si>
  <si>
    <t>Nicolet Bankshares Inc  Com</t>
  </si>
  <si>
    <t>NIC-US</t>
  </si>
  <si>
    <t>Nurix Therapeutics Inc  Com</t>
  </si>
  <si>
    <t>NRIX-US</t>
  </si>
  <si>
    <t>Centerspace  Sbi</t>
  </si>
  <si>
    <t>CSR-US</t>
  </si>
  <si>
    <t>Ceco Environmental Corp  Com</t>
  </si>
  <si>
    <t>CECO-US</t>
  </si>
  <si>
    <t>Hometrust Bancshares Inc  Com</t>
  </si>
  <si>
    <t>HTBI-US</t>
  </si>
  <si>
    <t>First Internet Bancorp  Com</t>
  </si>
  <si>
    <t>INBK-US</t>
  </si>
  <si>
    <t>Asure Software Inc  Com</t>
  </si>
  <si>
    <t>ASUR-US</t>
  </si>
  <si>
    <t>Dillards Inc  Cl A</t>
  </si>
  <si>
    <t>DDS-US</t>
  </si>
  <si>
    <t>Boeing Co  Com</t>
  </si>
  <si>
    <t>BA-US</t>
  </si>
  <si>
    <t>Intercontinental Exchange Inc  Com</t>
  </si>
  <si>
    <t>ICE-US</t>
  </si>
  <si>
    <t>Comfort Systems Usa Inc  Com</t>
  </si>
  <si>
    <t>FIX-US</t>
  </si>
  <si>
    <t>Alliant Energy Corp  Com</t>
  </si>
  <si>
    <t>LNT-US</t>
  </si>
  <si>
    <t>Medpace Holdings Inc  Com</t>
  </si>
  <si>
    <t>MEDP-US</t>
  </si>
  <si>
    <t>Corcept Therapeutics Inc  Com</t>
  </si>
  <si>
    <t>CORT-US</t>
  </si>
  <si>
    <t>Krystal Biotech Inc  Com</t>
  </si>
  <si>
    <t>KRYS-US</t>
  </si>
  <si>
    <t>Power Integrations Inc  Com</t>
  </si>
  <si>
    <t>POWI-US</t>
  </si>
  <si>
    <t>Tanger Inc  Com</t>
  </si>
  <si>
    <t>SKT-US</t>
  </si>
  <si>
    <t>Dorman Products Inc  Com</t>
  </si>
  <si>
    <t>DORM-US</t>
  </si>
  <si>
    <t>Formfactor Inc  Com</t>
  </si>
  <si>
    <t>FORM-US</t>
  </si>
  <si>
    <t>Hecla Mining Co  Com</t>
  </si>
  <si>
    <t>HL-US</t>
  </si>
  <si>
    <t>Western Union Co  Com</t>
  </si>
  <si>
    <t>WU-US</t>
  </si>
  <si>
    <t>Jetblue Airways Corp  Com</t>
  </si>
  <si>
    <t>JBLU-US</t>
  </si>
  <si>
    <t>Easterly Government Properties  Com</t>
  </si>
  <si>
    <t>DEA-US</t>
  </si>
  <si>
    <t>Ellington Financial Inc  Com</t>
  </si>
  <si>
    <t>EFC-US</t>
  </si>
  <si>
    <t>Dynex Capital Inc  Com</t>
  </si>
  <si>
    <t>DX-US</t>
  </si>
  <si>
    <t>Conduent Inc  Com</t>
  </si>
  <si>
    <t>CNDT-US</t>
  </si>
  <si>
    <t>Paragon 28 Inc  Com</t>
  </si>
  <si>
    <t>FNA-US</t>
  </si>
  <si>
    <t>Velocity Financial Inc  Com</t>
  </si>
  <si>
    <t>VEL-US</t>
  </si>
  <si>
    <t>Metallus Inc  Com</t>
  </si>
  <si>
    <t>MTUS-US</t>
  </si>
  <si>
    <t>Saul Centers Inc  Com</t>
  </si>
  <si>
    <t>BFS-US</t>
  </si>
  <si>
    <t>Cryoport Inc  Com</t>
  </si>
  <si>
    <t>CYRX-US</t>
  </si>
  <si>
    <t>Vanda Pharmaceuticals Inc  Com</t>
  </si>
  <si>
    <t>VNDA-US</t>
  </si>
  <si>
    <t>Postal Realty Trust Inc  Cl A</t>
  </si>
  <si>
    <t>PSTL-US</t>
  </si>
  <si>
    <t>Home Depot Inc  Com</t>
  </si>
  <si>
    <t>HD-US</t>
  </si>
  <si>
    <t>At&amp;T Inc  Com</t>
  </si>
  <si>
    <t>T-US</t>
  </si>
  <si>
    <t>Chubb Ltd  Com</t>
  </si>
  <si>
    <t>CB-US</t>
  </si>
  <si>
    <t>Marsh &amp; Mclennan Cos Inc  Com</t>
  </si>
  <si>
    <t>MMC-US</t>
  </si>
  <si>
    <t>Altria Group Inc  Com</t>
  </si>
  <si>
    <t>MO-US</t>
  </si>
  <si>
    <t>Amphenol Corp  Cl A</t>
  </si>
  <si>
    <t>APH-US</t>
  </si>
  <si>
    <t>Oreilly Automotive Inc  Com</t>
  </si>
  <si>
    <t>ORLY-US</t>
  </si>
  <si>
    <t>Cvs Health Corp  Com</t>
  </si>
  <si>
    <t>CVS-US</t>
  </si>
  <si>
    <t>Targa Resources Corp  Com</t>
  </si>
  <si>
    <t>TRGP-US</t>
  </si>
  <si>
    <t>Otis Worldwide Corp  Com</t>
  </si>
  <si>
    <t>OTIS-US</t>
  </si>
  <si>
    <t>Yum Brands Inc  Com</t>
  </si>
  <si>
    <t>YUM-US</t>
  </si>
  <si>
    <t>Wabtec Corp  Com</t>
  </si>
  <si>
    <t>WAB-US</t>
  </si>
  <si>
    <t>Martin Marietta Materials Inc  Com</t>
  </si>
  <si>
    <t>MLM-US</t>
  </si>
  <si>
    <t>Avalonbay Communities Inc  Com</t>
  </si>
  <si>
    <t>AVB-US</t>
  </si>
  <si>
    <t>Xylem Inc  Com</t>
  </si>
  <si>
    <t>XYL-US</t>
  </si>
  <si>
    <t>On Semiconductor Corp  Com</t>
  </si>
  <si>
    <t>ON-US</t>
  </si>
  <si>
    <t>Illumina Inc  Com</t>
  </si>
  <si>
    <t>ILMN-US</t>
  </si>
  <si>
    <t>Cboe Global Markets Inc  Com</t>
  </si>
  <si>
    <t>CBOE-US</t>
  </si>
  <si>
    <t>Lennox International Inc  Com</t>
  </si>
  <si>
    <t>LII-US</t>
  </si>
  <si>
    <t>Xpo Inc  Com</t>
  </si>
  <si>
    <t>XPO-US</t>
  </si>
  <si>
    <t>Texas Roadhouse Inc  Cl A</t>
  </si>
  <si>
    <t>TXRH-US</t>
  </si>
  <si>
    <t>Lamar Advertising Co  Cl A</t>
  </si>
  <si>
    <t>LAMR-US</t>
  </si>
  <si>
    <t>Repligen Corp  Com</t>
  </si>
  <si>
    <t>RGEN-US</t>
  </si>
  <si>
    <t>Oge Energy Corp  Com</t>
  </si>
  <si>
    <t>OGE-US</t>
  </si>
  <si>
    <t>Hasbro Inc  Com</t>
  </si>
  <si>
    <t>HAS-US</t>
  </si>
  <si>
    <t>Flowserve Corp  Com</t>
  </si>
  <si>
    <t>FLS-US</t>
  </si>
  <si>
    <t>Ensign Group Inc  Com</t>
  </si>
  <si>
    <t>ENSG-US</t>
  </si>
  <si>
    <t>Dropbox Inc  Cl A</t>
  </si>
  <si>
    <t>DBX-US</t>
  </si>
  <si>
    <t>Axis Capital Holdings Ltd  Com</t>
  </si>
  <si>
    <t>AXS-US</t>
  </si>
  <si>
    <t>Sps Commerce Inc  Com</t>
  </si>
  <si>
    <t>SPSC-US</t>
  </si>
  <si>
    <t>Gentex Corp  Com</t>
  </si>
  <si>
    <t>GNTX-US</t>
  </si>
  <si>
    <t>Altair Engineering Inc  Cl A</t>
  </si>
  <si>
    <t>ALTR-US</t>
  </si>
  <si>
    <t>Idacorp Inc  Com</t>
  </si>
  <si>
    <t>IDA-US</t>
  </si>
  <si>
    <t>Lear Corp  Com</t>
  </si>
  <si>
    <t>LEA-US</t>
  </si>
  <si>
    <t>Meritage Homes Corp  Com</t>
  </si>
  <si>
    <t>MTH-US</t>
  </si>
  <si>
    <t>Herc Holdings Inc  Com</t>
  </si>
  <si>
    <t>HRI-US</t>
  </si>
  <si>
    <t>Cleveland Cliffs Inc  Com</t>
  </si>
  <si>
    <t>CLF-US</t>
  </si>
  <si>
    <t>Euronet Worldwide Inc  Com</t>
  </si>
  <si>
    <t>EEFT-US</t>
  </si>
  <si>
    <t>Choice Hotels International Inc  Com</t>
  </si>
  <si>
    <t>CHH-US</t>
  </si>
  <si>
    <t>Rayonier Inc  Com</t>
  </si>
  <si>
    <t>RYN-US</t>
  </si>
  <si>
    <t>Harley Davidson Inc  Com</t>
  </si>
  <si>
    <t>HOG-US</t>
  </si>
  <si>
    <t>Avient Corp  Com</t>
  </si>
  <si>
    <t>AVNT-US</t>
  </si>
  <si>
    <t>Wsfs Financial Corp  Com</t>
  </si>
  <si>
    <t>WSFS-US</t>
  </si>
  <si>
    <t>Patrick Industries Inc  Com</t>
  </si>
  <si>
    <t>PATK-US</t>
  </si>
  <si>
    <t>Sylvamo Corp  Com</t>
  </si>
  <si>
    <t>SLVM-US</t>
  </si>
  <si>
    <t>Springworks Therapeutics Inc  Com</t>
  </si>
  <si>
    <t>SWTX-US</t>
  </si>
  <si>
    <t>Lci Industries  Com</t>
  </si>
  <si>
    <t>LCII-US</t>
  </si>
  <si>
    <t>Independent Bank Corp/Ma  Com</t>
  </si>
  <si>
    <t>INDB-US</t>
  </si>
  <si>
    <t>Corecivic Inc  Com</t>
  </si>
  <si>
    <t>CXW-US</t>
  </si>
  <si>
    <t>Hni Corp  Com</t>
  </si>
  <si>
    <t>HNI-US</t>
  </si>
  <si>
    <t>Carters Inc  Com</t>
  </si>
  <si>
    <t>CRI-US</t>
  </si>
  <si>
    <t>Cable One Inc  Com</t>
  </si>
  <si>
    <t>CABO-US</t>
  </si>
  <si>
    <t>Cushman &amp; Wakefield Plc  Com</t>
  </si>
  <si>
    <t>CWK-US</t>
  </si>
  <si>
    <t>Qcr Holdings Inc  Com</t>
  </si>
  <si>
    <t>QCRH-US</t>
  </si>
  <si>
    <t>H&amp;E Equipment Services Inc  Com</t>
  </si>
  <si>
    <t>HEES-US</t>
  </si>
  <si>
    <t>Nelnet Inc  Cl A</t>
  </si>
  <si>
    <t>NNI-US</t>
  </si>
  <si>
    <t>Gentherm Inc  Cl A</t>
  </si>
  <si>
    <t>THRM-US</t>
  </si>
  <si>
    <t>Berkshire Hills Bancorp Inc  Com</t>
  </si>
  <si>
    <t>BHLB-US</t>
  </si>
  <si>
    <t>Nextnav Inc  Com</t>
  </si>
  <si>
    <t>NN-US</t>
  </si>
  <si>
    <t>Suncoke Energy Inc  Com</t>
  </si>
  <si>
    <t>SXC-US</t>
  </si>
  <si>
    <t>Enact Holdings Inc  Com</t>
  </si>
  <si>
    <t>ACT-US</t>
  </si>
  <si>
    <t>Collegium Pharmaceutical Inc  Com</t>
  </si>
  <si>
    <t>COLL-US</t>
  </si>
  <si>
    <t>Brightspire Capital Inc  Cl A</t>
  </si>
  <si>
    <t>BRSP-US</t>
  </si>
  <si>
    <t>Metrocity Bankshares Inc  Com</t>
  </si>
  <si>
    <t>MCBS-US</t>
  </si>
  <si>
    <t>Paramount Group Inc  Com</t>
  </si>
  <si>
    <t>PGRE-US</t>
  </si>
  <si>
    <t>Bluelinx Holdings Inc  Com</t>
  </si>
  <si>
    <t>BXC-US</t>
  </si>
  <si>
    <t>Netstreit Corp  Com</t>
  </si>
  <si>
    <t>NTST-US</t>
  </si>
  <si>
    <t>Perpetua Resources Corp  Com</t>
  </si>
  <si>
    <t>PPTA-US</t>
  </si>
  <si>
    <t>Novagold Resources Inc  Com</t>
  </si>
  <si>
    <t>NG-CA</t>
  </si>
  <si>
    <t>Npk International Inc  Com</t>
  </si>
  <si>
    <t>NPKI-US</t>
  </si>
  <si>
    <t>Eagle Bancorp Inc /Md/  Com</t>
  </si>
  <si>
    <t>EGBN-US</t>
  </si>
  <si>
    <t>Merchants Bancorp /In/  Com</t>
  </si>
  <si>
    <t>MBIN-US</t>
  </si>
  <si>
    <t>Standard Motor Products Inc  Com</t>
  </si>
  <si>
    <t>SMP-US</t>
  </si>
  <si>
    <t>Bar Harbor Bankshares Inc  Com</t>
  </si>
  <si>
    <t>BHB-US</t>
  </si>
  <si>
    <t>Ballys Corp  Com</t>
  </si>
  <si>
    <t>BALY-US</t>
  </si>
  <si>
    <t>Clear Channel Outdoor Hldgs Inc  Com</t>
  </si>
  <si>
    <t>CCO-US</t>
  </si>
  <si>
    <t>Arhaus Inc  Cl A</t>
  </si>
  <si>
    <t>ARHS-US</t>
  </si>
  <si>
    <t>Bigcommerce Hldgs Inc  Com Ser 1 Vtg</t>
  </si>
  <si>
    <t>BIGC-US</t>
  </si>
  <si>
    <t>Clean Energy Fuels Corp  Com</t>
  </si>
  <si>
    <t>CLNE-US</t>
  </si>
  <si>
    <t>Five Star Bancorp  Com</t>
  </si>
  <si>
    <t>FSBC-US</t>
  </si>
  <si>
    <t>Regional Management Corp  Com</t>
  </si>
  <si>
    <t>RM-US</t>
  </si>
  <si>
    <t>Fulgent Genetics Inc  Com</t>
  </si>
  <si>
    <t>FLGT-US</t>
  </si>
  <si>
    <t>Mediaalpha Inc  Cl A</t>
  </si>
  <si>
    <t>MAX-US</t>
  </si>
  <si>
    <t>Bowman Consulting Group Ltd  Com</t>
  </si>
  <si>
    <t>BWMN-US</t>
  </si>
  <si>
    <t>Blue Foundry Bancorp  Com</t>
  </si>
  <si>
    <t>BLFY-US</t>
  </si>
  <si>
    <t>Cricut Inc  Cl A</t>
  </si>
  <si>
    <t>CRCT-US</t>
  </si>
  <si>
    <t>Intrepid Potash Inc  Com</t>
  </si>
  <si>
    <t>IPI-US</t>
  </si>
  <si>
    <t>Core Molding Technologies Inc  Com</t>
  </si>
  <si>
    <t>CMT-US</t>
  </si>
  <si>
    <t>Zynex Inc  Com</t>
  </si>
  <si>
    <t>ZYXI-US</t>
  </si>
  <si>
    <t>Pulmonx Corp  Com</t>
  </si>
  <si>
    <t>LUNG-US</t>
  </si>
  <si>
    <t>Corbus Pharmaceuticals Holdings  Com</t>
  </si>
  <si>
    <t>CRBP-US</t>
  </si>
  <si>
    <t>Colony Bankcorp Inc  Com</t>
  </si>
  <si>
    <t>CBAN-US</t>
  </si>
  <si>
    <t>Commercial Vehicle Group Inc  Com</t>
  </si>
  <si>
    <t>CVGI-US</t>
  </si>
  <si>
    <t>Cooper Standard Hldgs Inc  Com</t>
  </si>
  <si>
    <t>CPS-US</t>
  </si>
  <si>
    <t>Fiserv Inc  Com</t>
  </si>
  <si>
    <t>FI-US</t>
  </si>
  <si>
    <t>Vertex Pharmaceuticals Inc  Com</t>
  </si>
  <si>
    <t>VRTX-US</t>
  </si>
  <si>
    <t>Elevance Health Inc  Com</t>
  </si>
  <si>
    <t>ELV-US</t>
  </si>
  <si>
    <t>Northrop Grumman Corp  Com</t>
  </si>
  <si>
    <t>NOC-US</t>
  </si>
  <si>
    <t>Hilton Worldwide Holdings Inc  Com</t>
  </si>
  <si>
    <t>HLT-US</t>
  </si>
  <si>
    <t>Travelers Cos Inc  Cl A</t>
  </si>
  <si>
    <t>TRV-US</t>
  </si>
  <si>
    <t>Phillips 66  Com</t>
  </si>
  <si>
    <t>PSX-US</t>
  </si>
  <si>
    <t>American International Group  Com</t>
  </si>
  <si>
    <t>AIG-US</t>
  </si>
  <si>
    <t>Valero Energy Corp  Com</t>
  </si>
  <si>
    <t>VLO-US</t>
  </si>
  <si>
    <t>Verisk Analytics Inc  Cl A</t>
  </si>
  <si>
    <t>VRSK-US</t>
  </si>
  <si>
    <t>Hess Corp  Com</t>
  </si>
  <si>
    <t>HES-US</t>
  </si>
  <si>
    <t>Old Dominion Freight Lines Inc  Com</t>
  </si>
  <si>
    <t>ODFL-US</t>
  </si>
  <si>
    <t>Hartford Financial Services Grp  Com</t>
  </si>
  <si>
    <t>HIG-US</t>
  </si>
  <si>
    <t>Alnylam Pharmaceuticals Inc  Com</t>
  </si>
  <si>
    <t>ALNY-US</t>
  </si>
  <si>
    <t>State Street Corp  Com</t>
  </si>
  <si>
    <t>STT-US</t>
  </si>
  <si>
    <t>Halliburton Co  Com</t>
  </si>
  <si>
    <t>HAL-US</t>
  </si>
  <si>
    <t>American Water Works Co Inc  Com</t>
  </si>
  <si>
    <t>AWK-US</t>
  </si>
  <si>
    <t>Ppl Corp  Com</t>
  </si>
  <si>
    <t>PPL-US</t>
  </si>
  <si>
    <t>Southwest Airlines Co  Com</t>
  </si>
  <si>
    <t>LUV-US</t>
  </si>
  <si>
    <t>Invitation Homes Inc  Com</t>
  </si>
  <si>
    <t>INVH-US</t>
  </si>
  <si>
    <t>Everest Grou Ltd  Com</t>
  </si>
  <si>
    <t>EG-US</t>
  </si>
  <si>
    <t>Us Foods Holding Corp  Com</t>
  </si>
  <si>
    <t>USFD-US</t>
  </si>
  <si>
    <t>Reliance Inc  Com</t>
  </si>
  <si>
    <t>RS-US</t>
  </si>
  <si>
    <t>Host Hotels &amp; Resorts (Marriott) Com</t>
  </si>
  <si>
    <t>HST-US</t>
  </si>
  <si>
    <t>Itt Inc  Com</t>
  </si>
  <si>
    <t>ITT-US</t>
  </si>
  <si>
    <t>Annaly Capital Management Inc  Com</t>
  </si>
  <si>
    <t>NLY-US</t>
  </si>
  <si>
    <t>Universal Health Services Inc  Cl B</t>
  </si>
  <si>
    <t>UHS-US</t>
  </si>
  <si>
    <t>Molson Coors Beverage Co  Cl B</t>
  </si>
  <si>
    <t>TAP-US</t>
  </si>
  <si>
    <t>Enphase Energy Inc  Com</t>
  </si>
  <si>
    <t>ENPH-US</t>
  </si>
  <si>
    <t>Ingredion Inc  Com</t>
  </si>
  <si>
    <t>INGR-US</t>
  </si>
  <si>
    <t>Frontier Communications Parent  Com</t>
  </si>
  <si>
    <t>FYBR-US</t>
  </si>
  <si>
    <t>Kbr Inc  Com</t>
  </si>
  <si>
    <t>KBR-US</t>
  </si>
  <si>
    <t>Robert Half Inc  Com</t>
  </si>
  <si>
    <t>RHI-US</t>
  </si>
  <si>
    <t>Nnn Reit (National Retail)  Ord</t>
  </si>
  <si>
    <t>NNN-US</t>
  </si>
  <si>
    <t>Hyatt Hotels Corp  Cl A</t>
  </si>
  <si>
    <t>H-US</t>
  </si>
  <si>
    <t>Old National Bancorp/In  Com</t>
  </si>
  <si>
    <t>ONB-US</t>
  </si>
  <si>
    <t>Beacon Roofing Supply Inc  Com</t>
  </si>
  <si>
    <t>BECN-US</t>
  </si>
  <si>
    <t>Lumen Technologies Inc  Com</t>
  </si>
  <si>
    <t>LUMN-US</t>
  </si>
  <si>
    <t>Nov Inc  Com</t>
  </si>
  <si>
    <t>NOV-US</t>
  </si>
  <si>
    <t>Merit Medical Systems Inc  Com</t>
  </si>
  <si>
    <t>MMSI-US</t>
  </si>
  <si>
    <t>Cytokinetics Inc  Com</t>
  </si>
  <si>
    <t>CYTK-US</t>
  </si>
  <si>
    <t>Group 1 Automotive Inc  Com</t>
  </si>
  <si>
    <t>GPI-US</t>
  </si>
  <si>
    <t>Championx Corp  Com</t>
  </si>
  <si>
    <t>CHX-US</t>
  </si>
  <si>
    <t>United Bankshares Inc Wva  Com</t>
  </si>
  <si>
    <t>UBSI-US</t>
  </si>
  <si>
    <t>Kadant Inc  Com</t>
  </si>
  <si>
    <t>KAI-US</t>
  </si>
  <si>
    <t>Independence Realty Trust Inc  Com</t>
  </si>
  <si>
    <t>IRT-US</t>
  </si>
  <si>
    <t>Option Care Health Inc  Com</t>
  </si>
  <si>
    <t>OPCH-US</t>
  </si>
  <si>
    <t>Icu Medical Inc  Com</t>
  </si>
  <si>
    <t>ICUI-US</t>
  </si>
  <si>
    <t>Travel Plus Leisure Co  Com</t>
  </si>
  <si>
    <t>TNL-US</t>
  </si>
  <si>
    <t>Cinemark Holdings Inc  Com</t>
  </si>
  <si>
    <t>CNK-US</t>
  </si>
  <si>
    <t>Zoominfo Technologies Inc  Com</t>
  </si>
  <si>
    <t>ZI-US</t>
  </si>
  <si>
    <t>Community Financial System Inc  Com</t>
  </si>
  <si>
    <t>CBU-US</t>
  </si>
  <si>
    <t>United Community Banks/Ga  Cap Stk</t>
  </si>
  <si>
    <t>UCB-US</t>
  </si>
  <si>
    <t>Bankunited Inc  Com</t>
  </si>
  <si>
    <t>BKU-US</t>
  </si>
  <si>
    <t>Cvb Financial Corp  Com</t>
  </si>
  <si>
    <t>CVBF-US</t>
  </si>
  <si>
    <t>Leonardo Drs Inc  Com</t>
  </si>
  <si>
    <t>DRS-US</t>
  </si>
  <si>
    <t>Minerals Technologies Inc  Com</t>
  </si>
  <si>
    <t>MTX-US</t>
  </si>
  <si>
    <t>Innovative Indl Properties Inc  Cl A</t>
  </si>
  <si>
    <t>IIPR-US</t>
  </si>
  <si>
    <t>Mannkind Corp  Com</t>
  </si>
  <si>
    <t>MNKD-US</t>
  </si>
  <si>
    <t>O I Glass Inc  Com</t>
  </si>
  <si>
    <t>OI-US</t>
  </si>
  <si>
    <t>Prog Holdings Inc  Com</t>
  </si>
  <si>
    <t>PRG-US</t>
  </si>
  <si>
    <t>Alkami Technology Inc  Com</t>
  </si>
  <si>
    <t>ALKT-US</t>
  </si>
  <si>
    <t>Vera Therapeutics Inc  Cl A</t>
  </si>
  <si>
    <t>VERA-US</t>
  </si>
  <si>
    <t>Kohls Corp  Com</t>
  </si>
  <si>
    <t>KSS-US</t>
  </si>
  <si>
    <t>Csg Systems International Inc  Com</t>
  </si>
  <si>
    <t>CSGS-US</t>
  </si>
  <si>
    <t>Virtus Investment Partners Inc  Com</t>
  </si>
  <si>
    <t>VRTS-US</t>
  </si>
  <si>
    <t>Donnelley Financial Solutions  Com</t>
  </si>
  <si>
    <t>DFIN-US</t>
  </si>
  <si>
    <t>Helix Energy Solutions Group  Com</t>
  </si>
  <si>
    <t>HLX-US</t>
  </si>
  <si>
    <t>Veritex Holdings Inc  Com</t>
  </si>
  <si>
    <t>VBTX-US</t>
  </si>
  <si>
    <t>Safety Insurance Group Inc  Com</t>
  </si>
  <si>
    <t>SAFT-US</t>
  </si>
  <si>
    <t>Southside Bancshares Inc  Com</t>
  </si>
  <si>
    <t>SBSI-US</t>
  </si>
  <si>
    <t>Two Harbors Investment Corp  Com</t>
  </si>
  <si>
    <t>TWO-US</t>
  </si>
  <si>
    <t>Syndax Pharmaceuticals Inc  Com</t>
  </si>
  <si>
    <t>SNDX-US</t>
  </si>
  <si>
    <t>Safehold Inc  Com</t>
  </si>
  <si>
    <t>SAFE-US</t>
  </si>
  <si>
    <t>Pros Holdings Inc  Com</t>
  </si>
  <si>
    <t>PRO-US</t>
  </si>
  <si>
    <t>Ichor Holdings Ltd  Com</t>
  </si>
  <si>
    <t>ICHR-US</t>
  </si>
  <si>
    <t>Pc Connection Inc  Com</t>
  </si>
  <si>
    <t>CNXN-US</t>
  </si>
  <si>
    <t>Covenant Logistics Group Inc  Cl A</t>
  </si>
  <si>
    <t>CVLG-US</t>
  </si>
  <si>
    <t>Harborone Bancorp Inc  Com</t>
  </si>
  <si>
    <t>HONE-US</t>
  </si>
  <si>
    <t>Pursuit Attractions &amp; Hospitali  Com</t>
  </si>
  <si>
    <t>PRSU-US</t>
  </si>
  <si>
    <t>United Fire Group Inc  Com</t>
  </si>
  <si>
    <t>UFCS-US</t>
  </si>
  <si>
    <t>Investors Title Co  Com</t>
  </si>
  <si>
    <t>ITIC-US</t>
  </si>
  <si>
    <t>Quantum Si Inc  Cl A</t>
  </si>
  <si>
    <t>QSI-US</t>
  </si>
  <si>
    <t>Rayonier Advanced Materials Inc  Com</t>
  </si>
  <si>
    <t>RYAM-US</t>
  </si>
  <si>
    <t>Eastman Kodak Co  Com New</t>
  </si>
  <si>
    <t>KODK-US</t>
  </si>
  <si>
    <t>Zimvie Inc  Com</t>
  </si>
  <si>
    <t>ZIMV-US</t>
  </si>
  <si>
    <t>Sunnova Energy International  Com</t>
  </si>
  <si>
    <t>NOVA-US</t>
  </si>
  <si>
    <t>Middlefield Banc Corp  Com</t>
  </si>
  <si>
    <t>MBCN-US</t>
  </si>
  <si>
    <t>Dennys Corp  Com</t>
  </si>
  <si>
    <t>DENN-US</t>
  </si>
  <si>
    <t>Chatham Lodging Trust  Com</t>
  </si>
  <si>
    <t>CLDT-US</t>
  </si>
  <si>
    <t>Hudson Pacific Properties Inc  Com</t>
  </si>
  <si>
    <t>HPP-US</t>
  </si>
  <si>
    <t>Guaranty Bancshares Inc/Tx  Com</t>
  </si>
  <si>
    <t>GNTY-US</t>
  </si>
  <si>
    <t>Shyft Group Inc  Com</t>
  </si>
  <si>
    <t>SHYF-US</t>
  </si>
  <si>
    <t>Rbb Bancorp  Com</t>
  </si>
  <si>
    <t>RBB-US</t>
  </si>
  <si>
    <t>Potbelly Corp  Com</t>
  </si>
  <si>
    <t>PBPB-US</t>
  </si>
  <si>
    <t>Evgo Inc  Cl A</t>
  </si>
  <si>
    <t>EVGO-US</t>
  </si>
  <si>
    <t>Global Medical Reit Inc  Com</t>
  </si>
  <si>
    <t>GMRE-US</t>
  </si>
  <si>
    <t>Trueblue Inc  Com</t>
  </si>
  <si>
    <t>TBI-US</t>
  </si>
  <si>
    <t>Amplify Energy Corp  Com</t>
  </si>
  <si>
    <t>AMPY-US</t>
  </si>
  <si>
    <t>Orion Office Reit Inc  Com</t>
  </si>
  <si>
    <t>ONL-US</t>
  </si>
  <si>
    <t>Dmc Global Inc  Com</t>
  </si>
  <si>
    <t>BOOM-US</t>
  </si>
  <si>
    <t>Honeywell International Inc  Com</t>
  </si>
  <si>
    <t>HON-US</t>
  </si>
  <si>
    <t>Conocophillips  Com</t>
  </si>
  <si>
    <t>COP-US</t>
  </si>
  <si>
    <t>Waste Management Inc  Com</t>
  </si>
  <si>
    <t>WM-US</t>
  </si>
  <si>
    <t>Motorola Solutions Inc  Com</t>
  </si>
  <si>
    <t>MSI-US</t>
  </si>
  <si>
    <t>Cummins Inc  Com</t>
  </si>
  <si>
    <t>CMI-US</t>
  </si>
  <si>
    <t>Allstate Corp  Com</t>
  </si>
  <si>
    <t>ALL-US</t>
  </si>
  <si>
    <t>Prudential Financial Inc  Com</t>
  </si>
  <si>
    <t>PRU-US</t>
  </si>
  <si>
    <t>Centene Corp  Com</t>
  </si>
  <si>
    <t>CNC-US</t>
  </si>
  <si>
    <t>Ventas Inc  Com</t>
  </si>
  <si>
    <t>VTR-US</t>
  </si>
  <si>
    <t>Labcorp Holdings Inc  Com</t>
  </si>
  <si>
    <t>LH-US</t>
  </si>
  <si>
    <t>Essex Property Trust Inc  Com</t>
  </si>
  <si>
    <t>ESS-US</t>
  </si>
  <si>
    <t>Sun Communities Inc  Com</t>
  </si>
  <si>
    <t>SUI-US</t>
  </si>
  <si>
    <t>Skyworks Solutions Inc  Com</t>
  </si>
  <si>
    <t>SWKS-US</t>
  </si>
  <si>
    <t>Loews Corp  Com</t>
  </si>
  <si>
    <t>L-US</t>
  </si>
  <si>
    <t>Mastec Inc  Com</t>
  </si>
  <si>
    <t>MTZ-US</t>
  </si>
  <si>
    <t>Knight Swift Transportation Co Cl A</t>
  </si>
  <si>
    <t>KNX-US</t>
  </si>
  <si>
    <t>Coca Cola Consolidated Inc  Com</t>
  </si>
  <si>
    <t>COKE-US</t>
  </si>
  <si>
    <t>Middleby Corp  Com</t>
  </si>
  <si>
    <t>MIDD-US</t>
  </si>
  <si>
    <t>Spx Technologies Inc  Com</t>
  </si>
  <si>
    <t>SPXC-US</t>
  </si>
  <si>
    <t>Dutch Bros Inc  Cl A</t>
  </si>
  <si>
    <t>BROS-US</t>
  </si>
  <si>
    <t>Knife River Corp  Com</t>
  </si>
  <si>
    <t>KNF-US</t>
  </si>
  <si>
    <t>Hanover Insurance Group Inc  Com</t>
  </si>
  <si>
    <t>THG-US</t>
  </si>
  <si>
    <t>Asbury Automotive Group Inc  Com</t>
  </si>
  <si>
    <t>ABG-US</t>
  </si>
  <si>
    <t>Wayfair Inc  Cl A</t>
  </si>
  <si>
    <t>W-US</t>
  </si>
  <si>
    <t>Frontdoor Inc  Com</t>
  </si>
  <si>
    <t>FTDR-US</t>
  </si>
  <si>
    <t>Cactus Inc  Cl A</t>
  </si>
  <si>
    <t>WHD-US</t>
  </si>
  <si>
    <t>Allete Inc  Com</t>
  </si>
  <si>
    <t>ALE-US</t>
  </si>
  <si>
    <t>Mdu Resources Group Inc  Com</t>
  </si>
  <si>
    <t>MDU-US</t>
  </si>
  <si>
    <t>Atmus Filtration Technologies  Com</t>
  </si>
  <si>
    <t>ATMU-US</t>
  </si>
  <si>
    <t>Teradata Corp  Com</t>
  </si>
  <si>
    <t>TDC-US</t>
  </si>
  <si>
    <t>Highwoods Properties Inc  Com</t>
  </si>
  <si>
    <t>HIW-US</t>
  </si>
  <si>
    <t>Five9 Inc  Com</t>
  </si>
  <si>
    <t>FIVN-US</t>
  </si>
  <si>
    <t>Quidelortho Corp  Com</t>
  </si>
  <si>
    <t>QDEL-US</t>
  </si>
  <si>
    <t>Amkor Technology Inc  Com</t>
  </si>
  <si>
    <t>AMKR-US</t>
  </si>
  <si>
    <t>Bread Financial Holdings Inc  Com</t>
  </si>
  <si>
    <t>BFH-US</t>
  </si>
  <si>
    <t>Coeur Mining Inc  Com</t>
  </si>
  <si>
    <t>CDE-US</t>
  </si>
  <si>
    <t>Werner Enterprises Inc  Com</t>
  </si>
  <si>
    <t>WERN-US</t>
  </si>
  <si>
    <t>International Game Technology  Ord</t>
  </si>
  <si>
    <t>IGT-US</t>
  </si>
  <si>
    <t>Xenia Hotels &amp; Resorts Inc  Com</t>
  </si>
  <si>
    <t>XHR-US</t>
  </si>
  <si>
    <t>Fortrea Hldigs Inc  Com Wi</t>
  </si>
  <si>
    <t>FTRE-US</t>
  </si>
  <si>
    <t>Sitio Royalties Corp  Cl A</t>
  </si>
  <si>
    <t>STR-US</t>
  </si>
  <si>
    <t>St Joe Co  Com</t>
  </si>
  <si>
    <t>JOE-US</t>
  </si>
  <si>
    <t>S&amp;T Bancorp Inc  Com</t>
  </si>
  <si>
    <t>STBA-US</t>
  </si>
  <si>
    <t>Camping World Holdings Inc  Cl A</t>
  </si>
  <si>
    <t>CWH-US</t>
  </si>
  <si>
    <t>Artivion Inc  Com</t>
  </si>
  <si>
    <t>AORT-US</t>
  </si>
  <si>
    <t>Tompkins Financial Corp  Com</t>
  </si>
  <si>
    <t>TMP-US</t>
  </si>
  <si>
    <t>Trimas Corp  Com</t>
  </si>
  <si>
    <t>TRS-US</t>
  </si>
  <si>
    <t>Bel Fuse Inc  Cl B Com Nvtg</t>
  </si>
  <si>
    <t>BELFB-US</t>
  </si>
  <si>
    <t>Cross Country Healthcare Inc  Com</t>
  </si>
  <si>
    <t>CCRN-US</t>
  </si>
  <si>
    <t>Whitestone Reit  Com</t>
  </si>
  <si>
    <t>WSR-US</t>
  </si>
  <si>
    <t>Solaris Energy Infrastructure  Cl A</t>
  </si>
  <si>
    <t>SEI-US</t>
  </si>
  <si>
    <t>Crossfirst Bankshares Inc  Com</t>
  </si>
  <si>
    <t>CFB-US</t>
  </si>
  <si>
    <t>Carriage Services Inc  Com</t>
  </si>
  <si>
    <t>CSV-US</t>
  </si>
  <si>
    <t>American Coastal Insurance Corp  Com</t>
  </si>
  <si>
    <t>ACIC-US</t>
  </si>
  <si>
    <t>Dine Brands Global Inc  Com</t>
  </si>
  <si>
    <t>DIN-US</t>
  </si>
  <si>
    <t>Tejon Ranch Co  Com</t>
  </si>
  <si>
    <t>TRC-US</t>
  </si>
  <si>
    <t>Capricor Therapeutics Inc  Com</t>
  </si>
  <si>
    <t>CAPR-US</t>
  </si>
  <si>
    <t>Bank Of Marin Bancorp  Com</t>
  </si>
  <si>
    <t>BMRC-US</t>
  </si>
  <si>
    <t>Nerdwallet Inc  Cl A</t>
  </si>
  <si>
    <t>NRDS-US</t>
  </si>
  <si>
    <t>Orasure Technologies Inc  Com</t>
  </si>
  <si>
    <t>OSUR-US</t>
  </si>
  <si>
    <t>Smartrent Inc  Cl A</t>
  </si>
  <si>
    <t>SMRT-US</t>
  </si>
  <si>
    <t>Forrester Research Inc  Com</t>
  </si>
  <si>
    <t>FORR-US</t>
  </si>
  <si>
    <t>Stoneridge Inc  Com</t>
  </si>
  <si>
    <t>SRI-US</t>
  </si>
  <si>
    <t>I 80 Gold Corp  Com</t>
  </si>
  <si>
    <t>IAU-CA</t>
  </si>
  <si>
    <t>Baker Hughes Co  Cl A</t>
  </si>
  <si>
    <t>BKR-US</t>
  </si>
  <si>
    <t>International Paper Co  Com</t>
  </si>
  <si>
    <t>IP-US</t>
  </si>
  <si>
    <t>Nisource Inc  Com</t>
  </si>
  <si>
    <t>NI-US</t>
  </si>
  <si>
    <t>Draftkings Inc  Cl A</t>
  </si>
  <si>
    <t>DKNG-US</t>
  </si>
  <si>
    <t>Insmed Inc  Com</t>
  </si>
  <si>
    <t>INSM-US</t>
  </si>
  <si>
    <t>Celanese Corp  Com Ser A</t>
  </si>
  <si>
    <t>CE-US</t>
  </si>
  <si>
    <t>Essential Properties Realty Tr  Com</t>
  </si>
  <si>
    <t>EPRT-US</t>
  </si>
  <si>
    <t>M / I Homes Inc  Com</t>
  </si>
  <si>
    <t>MHO-US</t>
  </si>
  <si>
    <t>Eastern Bankshares Inc  Com</t>
  </si>
  <si>
    <t>EBC-US</t>
  </si>
  <si>
    <t>Cathay General Bancorp  Com</t>
  </si>
  <si>
    <t>CATY-US</t>
  </si>
  <si>
    <t>National Storage Affiliates Tr  Sbi</t>
  </si>
  <si>
    <t>NSA-US</t>
  </si>
  <si>
    <t>Pacific Premier Bancorp  Com</t>
  </si>
  <si>
    <t>PPBI-US</t>
  </si>
  <si>
    <t>Hawaiian Electric Industries  Com</t>
  </si>
  <si>
    <t>HE-US</t>
  </si>
  <si>
    <t>Atricure Inc  Com</t>
  </si>
  <si>
    <t>ATRC-US</t>
  </si>
  <si>
    <t>Interface Inc  Com</t>
  </si>
  <si>
    <t>TILE-US</t>
  </si>
  <si>
    <t>Spyre Therapeutics Inc  Com</t>
  </si>
  <si>
    <t>SYRE-US</t>
  </si>
  <si>
    <t>Exp World Holdings Inc  Com</t>
  </si>
  <si>
    <t>EXPI-US</t>
  </si>
  <si>
    <t>Mid Penn Bancorp Inc  Com</t>
  </si>
  <si>
    <t>MPB-US</t>
  </si>
  <si>
    <t>Zevra Therapeutics Inc  Com</t>
  </si>
  <si>
    <t>ZVRA-US</t>
  </si>
  <si>
    <t>South Plains Financial Inc  Com</t>
  </si>
  <si>
    <t>SPFI-US</t>
  </si>
  <si>
    <t>Peoples Financial Services Corp  Com</t>
  </si>
  <si>
    <t>PFIS-US</t>
  </si>
  <si>
    <t>Progressive Corp  Com</t>
  </si>
  <si>
    <t>PGR-US</t>
  </si>
  <si>
    <t>Colgate Palmolive Co  Com</t>
  </si>
  <si>
    <t>CL-US</t>
  </si>
  <si>
    <t>Marriott International Inc  Cl A</t>
  </si>
  <si>
    <t>MAR-US</t>
  </si>
  <si>
    <t>Realty Income Corp  Com</t>
  </si>
  <si>
    <t>O-US</t>
  </si>
  <si>
    <t>Axon Enterprise Inc  Com</t>
  </si>
  <si>
    <t>AXON-US</t>
  </si>
  <si>
    <t>Vulcan Materials Co  Com</t>
  </si>
  <si>
    <t>VMC-US</t>
  </si>
  <si>
    <t>Weyerhaeuser Co  Com</t>
  </si>
  <si>
    <t>WY-US</t>
  </si>
  <si>
    <t>Zimmer Biomet Holdings Inc  Com</t>
  </si>
  <si>
    <t>ZBH-US</t>
  </si>
  <si>
    <t>Masco Corp  Com</t>
  </si>
  <si>
    <t>MAS-US</t>
  </si>
  <si>
    <t>Tradeweb Markets Inc  Cl A</t>
  </si>
  <si>
    <t>TW-US</t>
  </si>
  <si>
    <t>Akamai Technologies Inc  Com</t>
  </si>
  <si>
    <t>AKAM-US</t>
  </si>
  <si>
    <t>American Homes 4 Rent  Cl A</t>
  </si>
  <si>
    <t>AMH-US</t>
  </si>
  <si>
    <t>Camden Property Trust  Sbi</t>
  </si>
  <si>
    <t>CPT-US</t>
  </si>
  <si>
    <t>Dt Midstream Inc  Com</t>
  </si>
  <si>
    <t>DTM-US</t>
  </si>
  <si>
    <t>Morningstar Inc  Com</t>
  </si>
  <si>
    <t>MORN-US</t>
  </si>
  <si>
    <t>Louisiana Pacific Corp  Com</t>
  </si>
  <si>
    <t>LPX-US</t>
  </si>
  <si>
    <t>Jbt Marel Corp  Com</t>
  </si>
  <si>
    <t>JBTM-US</t>
  </si>
  <si>
    <t>Marriott Vacations Worldwide  Com</t>
  </si>
  <si>
    <t>VAC-US</t>
  </si>
  <si>
    <t>Innospec Inc  Com</t>
  </si>
  <si>
    <t>IOSP-US</t>
  </si>
  <si>
    <t>Oceaneering International Inc  Com</t>
  </si>
  <si>
    <t>OII-US</t>
  </si>
  <si>
    <t>Albany International Corp  Cl A</t>
  </si>
  <si>
    <t>AIN-US</t>
  </si>
  <si>
    <t>Chefs Warehouse Inc  Com</t>
  </si>
  <si>
    <t>CHEF-US</t>
  </si>
  <si>
    <t>Diversified Energy (Gas &amp; Oil)  Ord</t>
  </si>
  <si>
    <t>DEC-GB</t>
  </si>
  <si>
    <t>Riley Exploration Permian Inc  Com</t>
  </si>
  <si>
    <t>REPX-US</t>
  </si>
  <si>
    <t>Lexicon Pharmaceuticals Inc  Com</t>
  </si>
  <si>
    <t>LXRX-US</t>
  </si>
  <si>
    <t>Verizon Communications Inc  Com</t>
  </si>
  <si>
    <t>VZ-US</t>
  </si>
  <si>
    <t>Union Pacific Corp  Com</t>
  </si>
  <si>
    <t>UNP-US</t>
  </si>
  <si>
    <t>Stryker Corp  Com</t>
  </si>
  <si>
    <t>SYK-US</t>
  </si>
  <si>
    <t>Prologis Inc  Com</t>
  </si>
  <si>
    <t>PLD-US</t>
  </si>
  <si>
    <t>Duke Energy Corp  Com</t>
  </si>
  <si>
    <t>DUK-US</t>
  </si>
  <si>
    <t>Cme Group Inc  Cl A</t>
  </si>
  <si>
    <t>CME-US</t>
  </si>
  <si>
    <t>Sempra  Com</t>
  </si>
  <si>
    <t>SRE-US</t>
  </si>
  <si>
    <t>Norfolk Southern Corp  Com</t>
  </si>
  <si>
    <t>NSC-US</t>
  </si>
  <si>
    <t>Discover Financial Services  Com</t>
  </si>
  <si>
    <t>DFS-US</t>
  </si>
  <si>
    <t>United Rentals Inc  Com</t>
  </si>
  <si>
    <t>URI-US</t>
  </si>
  <si>
    <t>Ford Motor Co  Com</t>
  </si>
  <si>
    <t>F-US</t>
  </si>
  <si>
    <t>Arch Capital Group Ltd  Ord</t>
  </si>
  <si>
    <t>ACGL-US</t>
  </si>
  <si>
    <t>Tractor Supply Co  Com</t>
  </si>
  <si>
    <t>TSCO-US</t>
  </si>
  <si>
    <t>Nucor Corp  Com</t>
  </si>
  <si>
    <t>NUE-US</t>
  </si>
  <si>
    <t>Wec Energy Group Inc  Com</t>
  </si>
  <si>
    <t>WEC-US</t>
  </si>
  <si>
    <t>Mettler Toledo International  Com</t>
  </si>
  <si>
    <t>MTD-US</t>
  </si>
  <si>
    <t>Lpl Financial Holdings Inc  Com</t>
  </si>
  <si>
    <t>LPLA-US</t>
  </si>
  <si>
    <t>Tyler Technologies Inc  Com</t>
  </si>
  <si>
    <t>TYL-US</t>
  </si>
  <si>
    <t>Ameren Corp  Com</t>
  </si>
  <si>
    <t>AEE-US</t>
  </si>
  <si>
    <t>Teradyne Inc  Com</t>
  </si>
  <si>
    <t>TER-US</t>
  </si>
  <si>
    <t>Zebra Technologies Corp  Cl A</t>
  </si>
  <si>
    <t>ZBRA-US</t>
  </si>
  <si>
    <t>Las Vegas Sands Corp  Com</t>
  </si>
  <si>
    <t>LVS-US</t>
  </si>
  <si>
    <t>Steel Dynamics Inc  Com</t>
  </si>
  <si>
    <t>STLD-US</t>
  </si>
  <si>
    <t>Keycorp  Com</t>
  </si>
  <si>
    <t>KEY-US</t>
  </si>
  <si>
    <t>Avantor Inc  Com</t>
  </si>
  <si>
    <t>AVTR-US</t>
  </si>
  <si>
    <t>Ch Robinson Worldwide Inc  Com</t>
  </si>
  <si>
    <t>CHRW-US</t>
  </si>
  <si>
    <t>Mueller Industries Inc  Com</t>
  </si>
  <si>
    <t>MLI-US</t>
  </si>
  <si>
    <t>Murphy Usa Inc  Com</t>
  </si>
  <si>
    <t>MUSA-US</t>
  </si>
  <si>
    <t>Tempur Sealy International Inc  Com</t>
  </si>
  <si>
    <t>TPX-US</t>
  </si>
  <si>
    <t>Alaska Air Group Inc  Com</t>
  </si>
  <si>
    <t>ALK-US</t>
  </si>
  <si>
    <t>Wex Inc  Com</t>
  </si>
  <si>
    <t>WEX-US</t>
  </si>
  <si>
    <t>Popular Inc  Com</t>
  </si>
  <si>
    <t>BPOP-US</t>
  </si>
  <si>
    <t>Esab Corp  Com</t>
  </si>
  <si>
    <t>ESAB-US</t>
  </si>
  <si>
    <t>Ryman Hospitality Properties  Com</t>
  </si>
  <si>
    <t>RHP-US</t>
  </si>
  <si>
    <t>Sterling Infrastructure Inc  Com</t>
  </si>
  <si>
    <t>STRL-US</t>
  </si>
  <si>
    <t>Lazard Inc  Cl A</t>
  </si>
  <si>
    <t>LAZ-US</t>
  </si>
  <si>
    <t>Boyd Gaming Corp  Com</t>
  </si>
  <si>
    <t>BYD-US</t>
  </si>
  <si>
    <t>Newell Brands Inc  Com</t>
  </si>
  <si>
    <t>NWL-US</t>
  </si>
  <si>
    <t>Cbiz Inc  Com</t>
  </si>
  <si>
    <t>CBZ-US</t>
  </si>
  <si>
    <t>Westlake Corp  Com</t>
  </si>
  <si>
    <t>WLK-US</t>
  </si>
  <si>
    <t>Cno Financial Group Inc  Com</t>
  </si>
  <si>
    <t>CNO-US</t>
  </si>
  <si>
    <t>Copt Defense Properties  Com</t>
  </si>
  <si>
    <t>CDP-US</t>
  </si>
  <si>
    <t>Blackline Inc  Com</t>
  </si>
  <si>
    <t>BL-US</t>
  </si>
  <si>
    <t>Penske Automotive Group Inc  Com</t>
  </si>
  <si>
    <t>PAG-US</t>
  </si>
  <si>
    <t>Nmi Holdings Inc  Cl A</t>
  </si>
  <si>
    <t>NMIH-US</t>
  </si>
  <si>
    <t>Progress Software Corp  Com</t>
  </si>
  <si>
    <t>PRGS-US</t>
  </si>
  <si>
    <t>Axcelis Technologies Inc  Com</t>
  </si>
  <si>
    <t>ACLS-US</t>
  </si>
  <si>
    <t>Peabody Energy Corp  Com</t>
  </si>
  <si>
    <t>BTU-US</t>
  </si>
  <si>
    <t>Phinia Inc  Com</t>
  </si>
  <si>
    <t>PHIN-US</t>
  </si>
  <si>
    <t>Geron Corp  Com</t>
  </si>
  <si>
    <t>GERN-US</t>
  </si>
  <si>
    <t>Banc Of California Inc  Com</t>
  </si>
  <si>
    <t>BANC-US</t>
  </si>
  <si>
    <t>Calix Inc  Com</t>
  </si>
  <si>
    <t>CALX-US</t>
  </si>
  <si>
    <t>Materion Corp  Com</t>
  </si>
  <si>
    <t>MTRN-US</t>
  </si>
  <si>
    <t>Veeco Instruments Inc  Com</t>
  </si>
  <si>
    <t>VECO-US</t>
  </si>
  <si>
    <t>Cts Corp  Com</t>
  </si>
  <si>
    <t>CTS-US</t>
  </si>
  <si>
    <t>Integra Lifesciences Holdings  Com</t>
  </si>
  <si>
    <t>IART-US</t>
  </si>
  <si>
    <t>Andersons Inc  Com</t>
  </si>
  <si>
    <t>ANDE-US</t>
  </si>
  <si>
    <t>Atlas Energy Solutions Inc  Cl A</t>
  </si>
  <si>
    <t>AESI-US</t>
  </si>
  <si>
    <t>Adeia Inc  Com Wi</t>
  </si>
  <si>
    <t>ADEA-US</t>
  </si>
  <si>
    <t>Empire State Realty Trust Inc  Cl A</t>
  </si>
  <si>
    <t>ESRT-US</t>
  </si>
  <si>
    <t>Skyward Specialty Insurance Grp  Com</t>
  </si>
  <si>
    <t>SKWD-US</t>
  </si>
  <si>
    <t>National Healthcare Corp  Com</t>
  </si>
  <si>
    <t>NHC-US</t>
  </si>
  <si>
    <t>Travere Therapeutics Inc  Com</t>
  </si>
  <si>
    <t>TVTX-US</t>
  </si>
  <si>
    <t>Commscope Holding Co Inc  Com</t>
  </si>
  <si>
    <t>COMM-US</t>
  </si>
  <si>
    <t>A10 Networks Inc  Com</t>
  </si>
  <si>
    <t>ATEN-US</t>
  </si>
  <si>
    <t>Driven Brands Holdings Inc  Com</t>
  </si>
  <si>
    <t>DRVN-US</t>
  </si>
  <si>
    <t>Owens &amp; Minor Inc  Com</t>
  </si>
  <si>
    <t>OMI-US</t>
  </si>
  <si>
    <t>Great Lakes Dredge &amp; Dock Corp  Com</t>
  </si>
  <si>
    <t>GLDD-US</t>
  </si>
  <si>
    <t>National Cinemedia Inc  Com</t>
  </si>
  <si>
    <t>NCMI-US</t>
  </si>
  <si>
    <t>Aris Water Solutions Inc  Cl A</t>
  </si>
  <si>
    <t>ARIS-US</t>
  </si>
  <si>
    <t>V2X Inc  Com</t>
  </si>
  <si>
    <t>VVX-US</t>
  </si>
  <si>
    <t>Kelly Services Inc  Cl A Nvtg</t>
  </si>
  <si>
    <t>KELYA-US</t>
  </si>
  <si>
    <t>Accel Entertainment Inc  Cl A1</t>
  </si>
  <si>
    <t>ACEL-US</t>
  </si>
  <si>
    <t>Clearwater Paper Corp  Com</t>
  </si>
  <si>
    <t>CLW-US</t>
  </si>
  <si>
    <t>Heartland Express Inc  Com</t>
  </si>
  <si>
    <t>HTLD-US</t>
  </si>
  <si>
    <t>Diamond Hill Investment Group  Com</t>
  </si>
  <si>
    <t>DHIL-US</t>
  </si>
  <si>
    <t>Celcuity Inc  Com</t>
  </si>
  <si>
    <t>CELC-US</t>
  </si>
  <si>
    <t>Gladstone Land Corp  Com</t>
  </si>
  <si>
    <t>LAND-US</t>
  </si>
  <si>
    <t>Graftech International Ltd  Com</t>
  </si>
  <si>
    <t>EAF-US</t>
  </si>
  <si>
    <t>Tredegar Corp  Com</t>
  </si>
  <si>
    <t>TG-US</t>
  </si>
  <si>
    <t>Wideopenwest Inc  Com</t>
  </si>
  <si>
    <t>WOW-US</t>
  </si>
  <si>
    <t>Cassava Sciences Inc  Com</t>
  </si>
  <si>
    <t>SAVA-US</t>
  </si>
  <si>
    <t>Advanced Micro Devices Inc  Com</t>
  </si>
  <si>
    <t>AMD-US</t>
  </si>
  <si>
    <t>Philip Morris International Inc  Com</t>
  </si>
  <si>
    <t>PM-US</t>
  </si>
  <si>
    <t>Gilead Sciences Inc  Com</t>
  </si>
  <si>
    <t>GILD-US</t>
  </si>
  <si>
    <t>Csx Corp  Com</t>
  </si>
  <si>
    <t>CSX-US</t>
  </si>
  <si>
    <t>Simon Property Group Inc  Com</t>
  </si>
  <si>
    <t>SPG-US</t>
  </si>
  <si>
    <t>Kinder Morgan Inc  Com Cl P</t>
  </si>
  <si>
    <t>KMI-US</t>
  </si>
  <si>
    <t>Brown &amp; Brown Inc  Com</t>
  </si>
  <si>
    <t>BRO-US</t>
  </si>
  <si>
    <t>Packaging Corp Of America  Com</t>
  </si>
  <si>
    <t>PKG-US</t>
  </si>
  <si>
    <t>First Solar Inc  Com</t>
  </si>
  <si>
    <t>FSLR-US</t>
  </si>
  <si>
    <t>Floor &amp; Decor Holdings Inc  Cl A</t>
  </si>
  <si>
    <t>FND-US</t>
  </si>
  <si>
    <t>Charles River Labs Intl Inc  Com</t>
  </si>
  <si>
    <t>CRL-US</t>
  </si>
  <si>
    <t>Primerica Inc  Com</t>
  </si>
  <si>
    <t>PRI-US</t>
  </si>
  <si>
    <t>Allison Transmission Hldgs Inc  Com</t>
  </si>
  <si>
    <t>ALSN-US</t>
  </si>
  <si>
    <t>Range Resources Corp  Com</t>
  </si>
  <si>
    <t>RRC-US</t>
  </si>
  <si>
    <t>Msa Safety Inc  Com</t>
  </si>
  <si>
    <t>MSA-US</t>
  </si>
  <si>
    <t>Columbia Banking Systems Inc  Com</t>
  </si>
  <si>
    <t>COLB-US</t>
  </si>
  <si>
    <t>Novanta Inc  Com</t>
  </si>
  <si>
    <t>NOVT-US</t>
  </si>
  <si>
    <t>Primo Brands Corp  Cl A</t>
  </si>
  <si>
    <t>PRMB-US</t>
  </si>
  <si>
    <t>Fnb Corp/Pa  Com</t>
  </si>
  <si>
    <t>FNB-US</t>
  </si>
  <si>
    <t>Arcosa Inc  Com</t>
  </si>
  <si>
    <t>ACA-US</t>
  </si>
  <si>
    <t>Murphy Oil Corp  Com</t>
  </si>
  <si>
    <t>MUR-US</t>
  </si>
  <si>
    <t>Ormat Technologies Inc  Com</t>
  </si>
  <si>
    <t>ORA-US</t>
  </si>
  <si>
    <t>Cogent Communications Hldgs Inc  Com</t>
  </si>
  <si>
    <t>CCOI-US</t>
  </si>
  <si>
    <t>Hilton Grand Vacations Inc  Com</t>
  </si>
  <si>
    <t>HGV-US</t>
  </si>
  <si>
    <t>Enova International Inc  Com</t>
  </si>
  <si>
    <t>ENVA-US</t>
  </si>
  <si>
    <t>Chesapeake Utilities Corp  Com</t>
  </si>
  <si>
    <t>CPK-US</t>
  </si>
  <si>
    <t>Victory Capital Holdings Inc  Cl A</t>
  </si>
  <si>
    <t>VCTR-US</t>
  </si>
  <si>
    <t>Ttm Technologies Inc  Com</t>
  </si>
  <si>
    <t>TTMI-US</t>
  </si>
  <si>
    <t>Century Communities Inc  Com</t>
  </si>
  <si>
    <t>CCS-US</t>
  </si>
  <si>
    <t>Bank Of Nt Butterfield &amp; Son  Com</t>
  </si>
  <si>
    <t>NTB-US</t>
  </si>
  <si>
    <t>Quaker Houghton  Com</t>
  </si>
  <si>
    <t>KWR-US</t>
  </si>
  <si>
    <t>Ofg Bancorp  Com</t>
  </si>
  <si>
    <t>OFG-US</t>
  </si>
  <si>
    <t>Mercury General Corp  New Com</t>
  </si>
  <si>
    <t>MCY-US</t>
  </si>
  <si>
    <t>Stewart Information Services  Com</t>
  </si>
  <si>
    <t>STC-US</t>
  </si>
  <si>
    <t>Leggett &amp; Platt Inc  Com</t>
  </si>
  <si>
    <t>LEG-US</t>
  </si>
  <si>
    <t>Tronox Holdings Plc  Com</t>
  </si>
  <si>
    <t>TROX-US</t>
  </si>
  <si>
    <t>Select Water Solutions Inc  Cl A</t>
  </si>
  <si>
    <t>WTTR-US</t>
  </si>
  <si>
    <t>Purecycle Technologies Inc  Com</t>
  </si>
  <si>
    <t>PCT-US</t>
  </si>
  <si>
    <t>Fidelis Insurance Holdings Ltd  Com</t>
  </si>
  <si>
    <t>FIHL-US</t>
  </si>
  <si>
    <t>Core Laboratories Inc  Com</t>
  </si>
  <si>
    <t>CLB-US</t>
  </si>
  <si>
    <t>Brookline Bancorp Inc  Com</t>
  </si>
  <si>
    <t>BRKL-US</t>
  </si>
  <si>
    <t>Ecovyst Inc  Com</t>
  </si>
  <si>
    <t>ECVT-US</t>
  </si>
  <si>
    <t>Site Centers Corp  Com</t>
  </si>
  <si>
    <t>SITC-US</t>
  </si>
  <si>
    <t>Adtran Holdings Inc  Com</t>
  </si>
  <si>
    <t>ADTN-US</t>
  </si>
  <si>
    <t>Amerant Bancorp Inc  Cl A</t>
  </si>
  <si>
    <t>AMTB-US</t>
  </si>
  <si>
    <t>Great Southern Bancorp Inc  Com</t>
  </si>
  <si>
    <t>GSBC-US</t>
  </si>
  <si>
    <t>Universal Stainless &amp; Alloy  Com</t>
  </si>
  <si>
    <t>USAP-US</t>
  </si>
  <si>
    <t>Frp Holdings Inc  Com</t>
  </si>
  <si>
    <t>FRPH-US</t>
  </si>
  <si>
    <t>Theravance Biopharma Inc  Com</t>
  </si>
  <si>
    <t>TBPH-US</t>
  </si>
  <si>
    <t>Hyster Yale Inc  Cl A</t>
  </si>
  <si>
    <t>HY-US</t>
  </si>
  <si>
    <t>Tactile Systems Technology Inc  Com</t>
  </si>
  <si>
    <t>TCMD-US</t>
  </si>
  <si>
    <t>Astronics Corp  Com</t>
  </si>
  <si>
    <t>ATRO-US</t>
  </si>
  <si>
    <t>Allient Inc  Com</t>
  </si>
  <si>
    <t>ALNT-US</t>
  </si>
  <si>
    <t>Gray Television Inc  Com</t>
  </si>
  <si>
    <t>GTN-US</t>
  </si>
  <si>
    <t>National Research Corp  Com</t>
  </si>
  <si>
    <t>NRC-US</t>
  </si>
  <si>
    <t>Genie Energy Ltd  Cl B</t>
  </si>
  <si>
    <t>GNE-US</t>
  </si>
  <si>
    <t>Ge Aerospace  Com</t>
  </si>
  <si>
    <t>GE-US</t>
  </si>
  <si>
    <t>Danaher Corp  Com</t>
  </si>
  <si>
    <t>DHR-US</t>
  </si>
  <si>
    <t>Bristol Myers Squibb Co  Com</t>
  </si>
  <si>
    <t>BMY-US</t>
  </si>
  <si>
    <t>Intel Corp  Com</t>
  </si>
  <si>
    <t>INTC-US</t>
  </si>
  <si>
    <t>Arthur J Gallagher &amp; Co  Com</t>
  </si>
  <si>
    <t>AJG-US</t>
  </si>
  <si>
    <t>Public Storage  Com</t>
  </si>
  <si>
    <t>PSA-US</t>
  </si>
  <si>
    <t>Dominion Energy Inc  Com</t>
  </si>
  <si>
    <t>D-US</t>
  </si>
  <si>
    <t>Ametek Inc  Com</t>
  </si>
  <si>
    <t>AME-US</t>
  </si>
  <si>
    <t>T Rowe Price Group Inc  Com</t>
  </si>
  <si>
    <t>TROW-US</t>
  </si>
  <si>
    <t>Hubbell Inc  Com</t>
  </si>
  <si>
    <t>HUBB-US</t>
  </si>
  <si>
    <t>Nvr Inc  Com</t>
  </si>
  <si>
    <t>NVR-US</t>
  </si>
  <si>
    <t>Rb Global Inc  Com</t>
  </si>
  <si>
    <t>RBA-CA</t>
  </si>
  <si>
    <t>Pentair Plc  Com</t>
  </si>
  <si>
    <t>PNR-US</t>
  </si>
  <si>
    <t>Omnicom Group Inc  Com</t>
  </si>
  <si>
    <t>OMC-US</t>
  </si>
  <si>
    <t>Idex Corp  Com</t>
  </si>
  <si>
    <t>IEX-US</t>
  </si>
  <si>
    <t>Expeditors International (Wa)  Com</t>
  </si>
  <si>
    <t>EXPD-US</t>
  </si>
  <si>
    <t>Baxter International Inc  Com</t>
  </si>
  <si>
    <t>BAX-US</t>
  </si>
  <si>
    <t>Kimco Realty Corp  Com</t>
  </si>
  <si>
    <t>KIM-US</t>
  </si>
  <si>
    <t>Evergy Inc  Com</t>
  </si>
  <si>
    <t>EVRG-US</t>
  </si>
  <si>
    <t>Service Corp International  Com</t>
  </si>
  <si>
    <t>SCI-US</t>
  </si>
  <si>
    <t>Albemarle Corp  Com</t>
  </si>
  <si>
    <t>ALB-US</t>
  </si>
  <si>
    <t>Lkq Corp  Com</t>
  </si>
  <si>
    <t>LKQ-US</t>
  </si>
  <si>
    <t>Ally Financial Inc  Com</t>
  </si>
  <si>
    <t>ALLY-US</t>
  </si>
  <si>
    <t>Fortune Brands Innovations Inc  Com</t>
  </si>
  <si>
    <t>FBIN-US</t>
  </si>
  <si>
    <t>Mks Instruments Inc  Com</t>
  </si>
  <si>
    <t>MKSI-US</t>
  </si>
  <si>
    <t>Trex Inc  Com</t>
  </si>
  <si>
    <t>TREX-US</t>
  </si>
  <si>
    <t>Oshkosh Corp  Com</t>
  </si>
  <si>
    <t>OSK-US</t>
  </si>
  <si>
    <t>Arrow Electronics Inc  Com</t>
  </si>
  <si>
    <t>ARW-US</t>
  </si>
  <si>
    <t>Siteone Landscape Supply Inc  Com</t>
  </si>
  <si>
    <t>SITE-US</t>
  </si>
  <si>
    <t>Landstar Systems Inc  Com</t>
  </si>
  <si>
    <t>LSTR-US</t>
  </si>
  <si>
    <t>Terreno Realty Corp  Com</t>
  </si>
  <si>
    <t>TRNO-US</t>
  </si>
  <si>
    <t>Darling Ingredients Inc  Com</t>
  </si>
  <si>
    <t>DAR-US</t>
  </si>
  <si>
    <t>Bloom Energy Corp  Cl A</t>
  </si>
  <si>
    <t>BE-US</t>
  </si>
  <si>
    <t>Gap Inc  Com</t>
  </si>
  <si>
    <t>GAP-US</t>
  </si>
  <si>
    <t>Magnolia Oil &amp; Gas Corp  Cl A</t>
  </si>
  <si>
    <t>MGY-US</t>
  </si>
  <si>
    <t>Yeti Holdings Inc  Com</t>
  </si>
  <si>
    <t>YETI-US</t>
  </si>
  <si>
    <t>Atlantic Union Bankshares Corp  Com</t>
  </si>
  <si>
    <t>AUB-US</t>
  </si>
  <si>
    <t>Graham Holdings Co  Cl B</t>
  </si>
  <si>
    <t>GHC-US</t>
  </si>
  <si>
    <t>Ziff Davis Inc  Com</t>
  </si>
  <si>
    <t>ZD-US</t>
  </si>
  <si>
    <t>Boston Beer Inc  Cl A</t>
  </si>
  <si>
    <t>SAM-US</t>
  </si>
  <si>
    <t>Arch Resources Inc  Cl A</t>
  </si>
  <si>
    <t>ARCH-US</t>
  </si>
  <si>
    <t>Avepoint Inc  Cl A</t>
  </si>
  <si>
    <t>AVPT-US</t>
  </si>
  <si>
    <t>Clarivate Plc  Com</t>
  </si>
  <si>
    <t>CLVT-US</t>
  </si>
  <si>
    <t>First Merchants Corp  Com</t>
  </si>
  <si>
    <t>FRME-US</t>
  </si>
  <si>
    <t>Inventrust Properties Corp  Com</t>
  </si>
  <si>
    <t>IVT-US</t>
  </si>
  <si>
    <t>Mrc Global Inc  Com</t>
  </si>
  <si>
    <t>MRC-US</t>
  </si>
  <si>
    <t>Piedmont Office Realty Trust  Cl A</t>
  </si>
  <si>
    <t>PDM-US</t>
  </si>
  <si>
    <t>Nexpoint Residential Trust  Com</t>
  </si>
  <si>
    <t>NXRT-US</t>
  </si>
  <si>
    <t>Integral Ad Science Hldgs Corp  Com</t>
  </si>
  <si>
    <t>IAS-US</t>
  </si>
  <si>
    <t>Marten Transport Ltd  Com</t>
  </si>
  <si>
    <t>MRTN-US</t>
  </si>
  <si>
    <t>Montrose Environmental Group  Com</t>
  </si>
  <si>
    <t>MEG-US</t>
  </si>
  <si>
    <t>Enterprise Bancorp Inc  Com</t>
  </si>
  <si>
    <t>EBTC-US</t>
  </si>
  <si>
    <t>Innovex International Inc  Com</t>
  </si>
  <si>
    <t>INVX-US</t>
  </si>
  <si>
    <t>Home Bancorp Inc  Com</t>
  </si>
  <si>
    <t>HBCP-US</t>
  </si>
  <si>
    <t>Community Health Systems Inc  Com</t>
  </si>
  <si>
    <t>CYH-US</t>
  </si>
  <si>
    <t>Acnb Corp  Com</t>
  </si>
  <si>
    <t>ACNB-US</t>
  </si>
  <si>
    <t>Oil States International Inc  Com</t>
  </si>
  <si>
    <t>OIS-US</t>
  </si>
  <si>
    <t>Preformed Line Products Co  Com</t>
  </si>
  <si>
    <t>PLPC-US</t>
  </si>
  <si>
    <t>Fidelity D &amp; D Bancorp Inc  Com</t>
  </si>
  <si>
    <t>FDBC-US</t>
  </si>
  <si>
    <t>Alerus Financial Corp  Com</t>
  </si>
  <si>
    <t>ALRS-US</t>
  </si>
  <si>
    <t>Green Plains Inc  Com</t>
  </si>
  <si>
    <t>GPRE-US</t>
  </si>
  <si>
    <t>Caledonia Mining Corp Plc  Com</t>
  </si>
  <si>
    <t>CMCL-US</t>
  </si>
  <si>
    <t>Manitowoc Co Inc  Com</t>
  </si>
  <si>
    <t>MTW-US</t>
  </si>
  <si>
    <t>Invesco Mortgage Capital Inc  Com</t>
  </si>
  <si>
    <t>IVR-US</t>
  </si>
  <si>
    <t>Eli Lilly &amp; Co  Com</t>
  </si>
  <si>
    <t>LLY-US</t>
  </si>
  <si>
    <t>American Express Co  Com</t>
  </si>
  <si>
    <t>AXP-US</t>
  </si>
  <si>
    <t>Uber Technologies Inc  Com</t>
  </si>
  <si>
    <t>UBER-US</t>
  </si>
  <si>
    <t>Aflac Inc  Com</t>
  </si>
  <si>
    <t>AFL-US</t>
  </si>
  <si>
    <t>Idexx Laboratories Inc  Com</t>
  </si>
  <si>
    <t>IDXX-US</t>
  </si>
  <si>
    <t>Hershey Co  Com</t>
  </si>
  <si>
    <t>HSY-US</t>
  </si>
  <si>
    <t>Pultegroup Inc  Com</t>
  </si>
  <si>
    <t>PHM-US</t>
  </si>
  <si>
    <t>Moderna Inc  Com</t>
  </si>
  <si>
    <t>MRNA-US</t>
  </si>
  <si>
    <t>Valmont Industries Inc  Com</t>
  </si>
  <si>
    <t>VMI-US</t>
  </si>
  <si>
    <t>Potlatchdeltic Corp  Com</t>
  </si>
  <si>
    <t>PCH-US</t>
  </si>
  <si>
    <t>Goosehead Insurance Inc  Cl A</t>
  </si>
  <si>
    <t>GSHD-US</t>
  </si>
  <si>
    <t>Heritage Financial Corp/Wa  Com</t>
  </si>
  <si>
    <t>HFWA-US</t>
  </si>
  <si>
    <t>Midland States Bancorp Inc  Com</t>
  </si>
  <si>
    <t>MSBI-US</t>
  </si>
  <si>
    <t>Usana Health Sciences Inc  Com</t>
  </si>
  <si>
    <t>USNA-US</t>
  </si>
  <si>
    <t>York Water Co  Com</t>
  </si>
  <si>
    <t>YORW-US</t>
  </si>
  <si>
    <t>Haverty Furniture Inc  Com</t>
  </si>
  <si>
    <t>HVT-US</t>
  </si>
  <si>
    <t>Ew Scripps Co  Cl A</t>
  </si>
  <si>
    <t>SSP-US</t>
  </si>
  <si>
    <t>Pitney Bowes Inc  Com</t>
  </si>
  <si>
    <t>PBI-US</t>
  </si>
  <si>
    <t>Berkshire Hathaway Inc  Cl B</t>
  </si>
  <si>
    <t>BRK.B-US</t>
  </si>
  <si>
    <t>Cincinnati Financial Corp  Com</t>
  </si>
  <si>
    <t>CINF-US</t>
  </si>
  <si>
    <t>Abbvie Inc  Com</t>
  </si>
  <si>
    <t>ABBV-US</t>
  </si>
  <si>
    <t>Illinois Tool Works Inc  Com</t>
  </si>
  <si>
    <t>ITW-US</t>
  </si>
  <si>
    <t>Entergy Corp  Com</t>
  </si>
  <si>
    <t>ETR-US</t>
  </si>
  <si>
    <t>Dover Corp  Com</t>
  </si>
  <si>
    <t>DOV-US</t>
  </si>
  <si>
    <t>Cms Energy Corp  Com</t>
  </si>
  <si>
    <t>CMS-US</t>
  </si>
  <si>
    <t>Bwx Technologies Inc  Com</t>
  </si>
  <si>
    <t>BWXT-US</t>
  </si>
  <si>
    <t>Teleflex Inc  Com</t>
  </si>
  <si>
    <t>TFX-US</t>
  </si>
  <si>
    <t>Lattice Semiconductor Corp  Com</t>
  </si>
  <si>
    <t>LSCC-US</t>
  </si>
  <si>
    <t>Ryder System Inc  Com</t>
  </si>
  <si>
    <t>R-US</t>
  </si>
  <si>
    <t>Starwood Property Trust Inc  Com</t>
  </si>
  <si>
    <t>STWD-US</t>
  </si>
  <si>
    <t>Air Lease Corp  Cl A</t>
  </si>
  <si>
    <t>AL-US</t>
  </si>
  <si>
    <t>Timken Co  Com</t>
  </si>
  <si>
    <t>TKR-US</t>
  </si>
  <si>
    <t>Franklin Electric Inc  Com</t>
  </si>
  <si>
    <t>FELE-US</t>
  </si>
  <si>
    <t>California Resources Corp  Com</t>
  </si>
  <si>
    <t>CRC-US</t>
  </si>
  <si>
    <t>Geo Group Inc  Com</t>
  </si>
  <si>
    <t>GEO-US</t>
  </si>
  <si>
    <t>Echostar Corp  Com</t>
  </si>
  <si>
    <t>SATS-US</t>
  </si>
  <si>
    <t>Manpowergroup  Com</t>
  </si>
  <si>
    <t>MAN-US</t>
  </si>
  <si>
    <t>Sunstone Hotel Investors Inc  Com</t>
  </si>
  <si>
    <t>SHO-US</t>
  </si>
  <si>
    <t>Barnes Group Inc  Com</t>
  </si>
  <si>
    <t>B-US</t>
  </si>
  <si>
    <t>Huron Consulting Group Inc  Com</t>
  </si>
  <si>
    <t>HURN-US</t>
  </si>
  <si>
    <t>Fox Factory Holding Corp  Com</t>
  </si>
  <si>
    <t>FOXF-US</t>
  </si>
  <si>
    <t>Paysign Inc  Com</t>
  </si>
  <si>
    <t>PAYS-US</t>
  </si>
  <si>
    <t>Olympic Steel Inc  Com</t>
  </si>
  <si>
    <t>ZEUS-US</t>
  </si>
  <si>
    <t>Utah Medical Products Inc  Com</t>
  </si>
  <si>
    <t>UTMD-US</t>
  </si>
  <si>
    <t>Rtx Corp  Com</t>
  </si>
  <si>
    <t>RTX-US</t>
  </si>
  <si>
    <t>Boston Scientific Corp  Com</t>
  </si>
  <si>
    <t>BSX-US</t>
  </si>
  <si>
    <t>Lockheed Martin Corp  Com</t>
  </si>
  <si>
    <t>LMT-US</t>
  </si>
  <si>
    <t>United Parcel Service Inc  Cl B</t>
  </si>
  <si>
    <t>UPS-US</t>
  </si>
  <si>
    <t>Cadence Design System Inc  Com</t>
  </si>
  <si>
    <t>CDNS-US</t>
  </si>
  <si>
    <t>Capital One Financial Corp  Com</t>
  </si>
  <si>
    <t>COF-US</t>
  </si>
  <si>
    <t>Ecolab Inc  Com</t>
  </si>
  <si>
    <t>ECL-US</t>
  </si>
  <si>
    <t>Kimberly Clark Corp  Com</t>
  </si>
  <si>
    <t>KMB-US</t>
  </si>
  <si>
    <t>Corning Inc  Com</t>
  </si>
  <si>
    <t>GLW-US</t>
  </si>
  <si>
    <t>Occidental Petroleum Corp  Com</t>
  </si>
  <si>
    <t>OXY-US</t>
  </si>
  <si>
    <t>Equifax Inc  Com</t>
  </si>
  <si>
    <t>EFX-US</t>
  </si>
  <si>
    <t>Kraft Heinz Co  Com</t>
  </si>
  <si>
    <t>KHC-US</t>
  </si>
  <si>
    <t>Church &amp; Dwight Inc  Com</t>
  </si>
  <si>
    <t>CHD-US</t>
  </si>
  <si>
    <t>Dte Energy Co  Com</t>
  </si>
  <si>
    <t>DTE-US</t>
  </si>
  <si>
    <t>Carvana Co  Cl A</t>
  </si>
  <si>
    <t>CVNA-US</t>
  </si>
  <si>
    <t>Transunion  Com</t>
  </si>
  <si>
    <t>TRU-US</t>
  </si>
  <si>
    <t>Curtiss Wright Corp  Com</t>
  </si>
  <si>
    <t>CW-US</t>
  </si>
  <si>
    <t>Ovintiv Inc  Com</t>
  </si>
  <si>
    <t>OVV-US</t>
  </si>
  <si>
    <t>Eastman Chemical Co  Com</t>
  </si>
  <si>
    <t>EMN-US</t>
  </si>
  <si>
    <t>Crown Holdings Inc  Com</t>
  </si>
  <si>
    <t>CCK-US</t>
  </si>
  <si>
    <t>Encompass Health Corp  Com</t>
  </si>
  <si>
    <t>EHC-US</t>
  </si>
  <si>
    <t>Wynn Resorts Ltd  Com</t>
  </si>
  <si>
    <t>WYNN-US</t>
  </si>
  <si>
    <t>Genpact Ltd  Com</t>
  </si>
  <si>
    <t>G-US</t>
  </si>
  <si>
    <t>Rli Corp  Com</t>
  </si>
  <si>
    <t>RLI-US</t>
  </si>
  <si>
    <t>Inspire Medical Systems Inc  Com</t>
  </si>
  <si>
    <t>INSP-US</t>
  </si>
  <si>
    <t>Hexcel Corp  Com</t>
  </si>
  <si>
    <t>HXL-US</t>
  </si>
  <si>
    <t>Zurn Elkay Water Solutions Corp  Com</t>
  </si>
  <si>
    <t>ZWS-US</t>
  </si>
  <si>
    <t>Assured Guaranty Ltd  Com</t>
  </si>
  <si>
    <t>AGO-US</t>
  </si>
  <si>
    <t>Boise Cascade Co  Com</t>
  </si>
  <si>
    <t>BCC-US</t>
  </si>
  <si>
    <t>Cnx Resources Corp  Com</t>
  </si>
  <si>
    <t>CNX-US</t>
  </si>
  <si>
    <t>Southwest Gas Holdings Inc  Com</t>
  </si>
  <si>
    <t>SWX-US</t>
  </si>
  <si>
    <t>Brinks Co  Com</t>
  </si>
  <si>
    <t>BCO-US</t>
  </si>
  <si>
    <t>Enpro Inc  Com</t>
  </si>
  <si>
    <t>NPO-US</t>
  </si>
  <si>
    <t>Perrigo Co Plc  Com</t>
  </si>
  <si>
    <t>PRGO-US</t>
  </si>
  <si>
    <t>Walker &amp; Dunlop Inc  Com</t>
  </si>
  <si>
    <t>WD-US</t>
  </si>
  <si>
    <t>Huntsman Corp  Com</t>
  </si>
  <si>
    <t>HUN-US</t>
  </si>
  <si>
    <t>Acadia Realty Trust  Sbi</t>
  </si>
  <si>
    <t>AKR-US</t>
  </si>
  <si>
    <t>Broadstone Net Lease Inc  Com</t>
  </si>
  <si>
    <t>BNL-US</t>
  </si>
  <si>
    <t>Cohen &amp; Steers Inc  Com</t>
  </si>
  <si>
    <t>CNS-US</t>
  </si>
  <si>
    <t>Alpha Metallurgical Resources  Com</t>
  </si>
  <si>
    <t>AMR-US</t>
  </si>
  <si>
    <t>Wolverine World Wide Inc  Com</t>
  </si>
  <si>
    <t>WWW-US</t>
  </si>
  <si>
    <t>Alamo Group Inc  Com</t>
  </si>
  <si>
    <t>ALG-US</t>
  </si>
  <si>
    <t>Us Lime &amp; Minerals Inc  Com</t>
  </si>
  <si>
    <t>USLM-US</t>
  </si>
  <si>
    <t>Westamerica Bancorporation  Com</t>
  </si>
  <si>
    <t>WABC-US</t>
  </si>
  <si>
    <t>First Bancorp/Nc/  Com</t>
  </si>
  <si>
    <t>FBNC-US</t>
  </si>
  <si>
    <t>Amneal Pharmaceuticals Inc  Cl A</t>
  </si>
  <si>
    <t>AMRX-US</t>
  </si>
  <si>
    <t>Papa Johns International Inc  Com</t>
  </si>
  <si>
    <t>PZZA-US</t>
  </si>
  <si>
    <t>Delek Us Holdings Inc  Com</t>
  </si>
  <si>
    <t>DK-US</t>
  </si>
  <si>
    <t>Weis Markets Inc  Com</t>
  </si>
  <si>
    <t>WMK-US</t>
  </si>
  <si>
    <t>Wk Kellogg Co  Com</t>
  </si>
  <si>
    <t>KLG-US</t>
  </si>
  <si>
    <t>Cipher Mining Inc  Com</t>
  </si>
  <si>
    <t>CIFR-US</t>
  </si>
  <si>
    <t>Shoals Technologies Group Inc  Cl A</t>
  </si>
  <si>
    <t>SHLS-US</t>
  </si>
  <si>
    <t>Hackett Group Inc  Com</t>
  </si>
  <si>
    <t>HCKT-US</t>
  </si>
  <si>
    <t>Marcus &amp; Millichap Inc  Com</t>
  </si>
  <si>
    <t>MMI-US</t>
  </si>
  <si>
    <t>American Axle &amp; Mfg Holdings  Com</t>
  </si>
  <si>
    <t>AXL-US</t>
  </si>
  <si>
    <t>Lincoln Educational Svcs Corp  Com</t>
  </si>
  <si>
    <t>LINC-US</t>
  </si>
  <si>
    <t>Horizon Bancorp Inc  Com</t>
  </si>
  <si>
    <t>HBNC-US</t>
  </si>
  <si>
    <t>Vitesse Energy Inc  Com</t>
  </si>
  <si>
    <t>VTS-US</t>
  </si>
  <si>
    <t>Koppers Holdings Inc  Com</t>
  </si>
  <si>
    <t>KOP-US</t>
  </si>
  <si>
    <t>Gladstone Commercial Corp  Com</t>
  </si>
  <si>
    <t>GOOD-US</t>
  </si>
  <si>
    <t>Blade Air Mobility Inc  Cl A</t>
  </si>
  <si>
    <t>BLDE-US</t>
  </si>
  <si>
    <t>Community Healthcare Trust Inc  Com</t>
  </si>
  <si>
    <t>CHCT-US</t>
  </si>
  <si>
    <t>Red River Bancshares Inc  Com</t>
  </si>
  <si>
    <t>RRBI-US</t>
  </si>
  <si>
    <t>Mbia Inc  Com</t>
  </si>
  <si>
    <t>MBI-US</t>
  </si>
  <si>
    <t>Anywhere Real Estate Inc  Com</t>
  </si>
  <si>
    <t>HOUS-US</t>
  </si>
  <si>
    <t>City Office Reit Inc  Com</t>
  </si>
  <si>
    <t>CIO-US</t>
  </si>
  <si>
    <t>Coca Cola Co  Com</t>
  </si>
  <si>
    <t>KO-US</t>
  </si>
  <si>
    <t>Pepsico Inc  Com</t>
  </si>
  <si>
    <t>PEP-US</t>
  </si>
  <si>
    <t>S&amp;P Global Inc  Com</t>
  </si>
  <si>
    <t>SPGI-US</t>
  </si>
  <si>
    <t>General Dynamics Corp  Com</t>
  </si>
  <si>
    <t>GD-US</t>
  </si>
  <si>
    <t>Vistra Corp  Com</t>
  </si>
  <si>
    <t>VST-US</t>
  </si>
  <si>
    <t>First Citizens Bancshares  Cl A</t>
  </si>
  <si>
    <t>FCNCA-US</t>
  </si>
  <si>
    <t>International Flavors &amp; Fragran  Com</t>
  </si>
  <si>
    <t>IFF-US</t>
  </si>
  <si>
    <t>Eversource Energy  Com</t>
  </si>
  <si>
    <t>ES-US</t>
  </si>
  <si>
    <t>Coterra Energy Inc  Com</t>
  </si>
  <si>
    <t>CTRA-US</t>
  </si>
  <si>
    <t>Molina Healthcare Inc  Com</t>
  </si>
  <si>
    <t>MOH-US</t>
  </si>
  <si>
    <t>Carlisle Cos Inc  Com</t>
  </si>
  <si>
    <t>CSL-US</t>
  </si>
  <si>
    <t>Regency Centers Corp  Com</t>
  </si>
  <si>
    <t>REG-US</t>
  </si>
  <si>
    <t>Pool Corp  Com</t>
  </si>
  <si>
    <t>POOL-US</t>
  </si>
  <si>
    <t>Aptargroup Inc  Com</t>
  </si>
  <si>
    <t>ATR-US</t>
  </si>
  <si>
    <t>Essential Utilities Inc  Com</t>
  </si>
  <si>
    <t>WTRG-US</t>
  </si>
  <si>
    <t>Federal Realty Investment Trust  Sbi</t>
  </si>
  <si>
    <t>FRT-US</t>
  </si>
  <si>
    <t>Fluor Corp  Com</t>
  </si>
  <si>
    <t>FLR-US</t>
  </si>
  <si>
    <t>Mgm Resorts International  Com</t>
  </si>
  <si>
    <t>MGM-US</t>
  </si>
  <si>
    <t>Chord Energy Corp  Com</t>
  </si>
  <si>
    <t>CHRD-US</t>
  </si>
  <si>
    <t>Huntington Ingalls Ind Inc Com</t>
  </si>
  <si>
    <t>HII-US</t>
  </si>
  <si>
    <t>Simpson Manufacturing Co Inc  Com</t>
  </si>
  <si>
    <t>SSD-US</t>
  </si>
  <si>
    <t>Cognex Corp  Com</t>
  </si>
  <si>
    <t>CGNX-US</t>
  </si>
  <si>
    <t>Essent Group Ltd  Com</t>
  </si>
  <si>
    <t>ESNT-US</t>
  </si>
  <si>
    <t>Selective Insurance Group Inc  Com</t>
  </si>
  <si>
    <t>SIGI-US</t>
  </si>
  <si>
    <t>Brunswick Corp  Com</t>
  </si>
  <si>
    <t>BC-US</t>
  </si>
  <si>
    <t>Primoris Services Corp  Com</t>
  </si>
  <si>
    <t>PRIM-US</t>
  </si>
  <si>
    <t>Kemper Corp  Com</t>
  </si>
  <si>
    <t>KMPR-US</t>
  </si>
  <si>
    <t>Vericel Corp  Com</t>
  </si>
  <si>
    <t>VCEL-US</t>
  </si>
  <si>
    <t>Urban Edge Properties  Com</t>
  </si>
  <si>
    <t>UE-US</t>
  </si>
  <si>
    <t>Avista Corp  Com</t>
  </si>
  <si>
    <t>AVA-US</t>
  </si>
  <si>
    <t>Enterprise Financial Services  Com</t>
  </si>
  <si>
    <t>EFSC-US</t>
  </si>
  <si>
    <t>Rogers Corp  Com</t>
  </si>
  <si>
    <t>ROG-US</t>
  </si>
  <si>
    <t>Diamondrock Hospitality Co  Com</t>
  </si>
  <si>
    <t>DRH-US</t>
  </si>
  <si>
    <t>Pilgrims Pride Corp  Com</t>
  </si>
  <si>
    <t>PPC-US</t>
  </si>
  <si>
    <t>Gibraltar Industries Inc  Com</t>
  </si>
  <si>
    <t>ROCK-US</t>
  </si>
  <si>
    <t>Cna Financial Corp  Com</t>
  </si>
  <si>
    <t>CNA-US</t>
  </si>
  <si>
    <t>Tennant Co  Com</t>
  </si>
  <si>
    <t>TNC-US</t>
  </si>
  <si>
    <t>Turning Point Brands Inc  Com</t>
  </si>
  <si>
    <t>TPB-US</t>
  </si>
  <si>
    <t>National Bank Holdings Corp  Cl A</t>
  </si>
  <si>
    <t>NBHC-US</t>
  </si>
  <si>
    <t>Kodiak Gas Service Inc  Com</t>
  </si>
  <si>
    <t>KGS-US</t>
  </si>
  <si>
    <t>Unitil Corp  Com</t>
  </si>
  <si>
    <t>UTL-US</t>
  </si>
  <si>
    <t>Tpg Re Finance Trust Inc  Com</t>
  </si>
  <si>
    <t>TRTX-US</t>
  </si>
  <si>
    <t>Unisys Corp  Com</t>
  </si>
  <si>
    <t>UIS-US</t>
  </si>
  <si>
    <t>Revance Therapeutics Inc  Com</t>
  </si>
  <si>
    <t>RVNC-US</t>
  </si>
  <si>
    <t>Chord Energy Corp  Wt 09/01/25</t>
  </si>
  <si>
    <t>WLLBW-US</t>
  </si>
  <si>
    <t>Wells Fargo &amp; Co  Com</t>
  </si>
  <si>
    <t>WFC-US</t>
  </si>
  <si>
    <t>International Business Machines  Com</t>
  </si>
  <si>
    <t>IBM-US</t>
  </si>
  <si>
    <t>Citigroup Inc  Com</t>
  </si>
  <si>
    <t>C-US</t>
  </si>
  <si>
    <t>Constellation Energy Corp  Com</t>
  </si>
  <si>
    <t>CEG-US</t>
  </si>
  <si>
    <t>Williams Companies Inc  Com</t>
  </si>
  <si>
    <t>WMB-US</t>
  </si>
  <si>
    <t>Paccar Inc  Com</t>
  </si>
  <si>
    <t>PCAR-US</t>
  </si>
  <si>
    <t>Exelon Corp  Com</t>
  </si>
  <si>
    <t>EXC-US</t>
  </si>
  <si>
    <t>Vici Properties Inc  Com</t>
  </si>
  <si>
    <t>VICI-US</t>
  </si>
  <si>
    <t>Equity Lifestyle Properties Inc  Com</t>
  </si>
  <si>
    <t>ELS-US</t>
  </si>
  <si>
    <t>Planet Fitness Inc  Cl A</t>
  </si>
  <si>
    <t>PLNT-US</t>
  </si>
  <si>
    <t>Bath &amp; Body Works Inc  Com</t>
  </si>
  <si>
    <t>BBWI-US</t>
  </si>
  <si>
    <t>United States Steel Corp  Com</t>
  </si>
  <si>
    <t>X-US</t>
  </si>
  <si>
    <t>Ryan Specialty Holdings Inc  Cl A</t>
  </si>
  <si>
    <t>RYAN-US</t>
  </si>
  <si>
    <t>Fmc Corp  Com</t>
  </si>
  <si>
    <t>FMC-US</t>
  </si>
  <si>
    <t>Umb Financial Corp  Com</t>
  </si>
  <si>
    <t>UMBF-US</t>
  </si>
  <si>
    <t>Phillips Edison &amp; Co Inc  Com</t>
  </si>
  <si>
    <t>PECO-US</t>
  </si>
  <si>
    <t>Associated Banc Corp  Com</t>
  </si>
  <si>
    <t>ASB-US</t>
  </si>
  <si>
    <t>Biohaven Ltd  Com</t>
  </si>
  <si>
    <t>BHVN-US</t>
  </si>
  <si>
    <t>Pbf Energy Inc  Cl A</t>
  </si>
  <si>
    <t>PBF-US</t>
  </si>
  <si>
    <t>Bok Financial Corp  Com</t>
  </si>
  <si>
    <t>BOKF-US</t>
  </si>
  <si>
    <t>Knowles Corp  Com</t>
  </si>
  <si>
    <t>KN-US</t>
  </si>
  <si>
    <t>Stepan Co  Com</t>
  </si>
  <si>
    <t>SCL-US</t>
  </si>
  <si>
    <t>Par Pacific Holdings Inc  Com</t>
  </si>
  <si>
    <t>PARR-US</t>
  </si>
  <si>
    <t>Orrstown Financial Svcs Inc  Com</t>
  </si>
  <si>
    <t>ORRF-US</t>
  </si>
  <si>
    <t>Premier Financial Corp  Com</t>
  </si>
  <si>
    <t>PFC-US</t>
  </si>
  <si>
    <t>Shenandoah Telecommunications  Com</t>
  </si>
  <si>
    <t>SHEN-US</t>
  </si>
  <si>
    <t>Peapack Gladstone Financial  Com</t>
  </si>
  <si>
    <t>PGC-US</t>
  </si>
  <si>
    <t>Tiptree Inc  Com</t>
  </si>
  <si>
    <t>TIPT-US</t>
  </si>
  <si>
    <t>Brc Inc  Cl A</t>
  </si>
  <si>
    <t>BRCC-US</t>
  </si>
  <si>
    <t>Genuine Parts Co  Com</t>
  </si>
  <si>
    <t>GPC-US</t>
  </si>
  <si>
    <t>Paycom Software Inc  Com</t>
  </si>
  <si>
    <t>PAYC-US</t>
  </si>
  <si>
    <t>Topbuild Corp  Com</t>
  </si>
  <si>
    <t>BLD-US</t>
  </si>
  <si>
    <t>Stag Industrial Inc  Com</t>
  </si>
  <si>
    <t>STAG-US</t>
  </si>
  <si>
    <t>Schneider National Inc  Cl B</t>
  </si>
  <si>
    <t>SNDR-US</t>
  </si>
  <si>
    <t>Sfl Corp Ltd  Com</t>
  </si>
  <si>
    <t>SFL-US</t>
  </si>
  <si>
    <t>Golden Ocean Group Ltd  Com</t>
  </si>
  <si>
    <t>GOGL-US</t>
  </si>
  <si>
    <t>German American Bancorp Inc  Com</t>
  </si>
  <si>
    <t>GABC-US</t>
  </si>
  <si>
    <t>Flex Lng Ltd  Ord</t>
  </si>
  <si>
    <t>FLNG-US</t>
  </si>
  <si>
    <t>Farmland Partners Inc  Com</t>
  </si>
  <si>
    <t>FPI-US</t>
  </si>
  <si>
    <t>Farmers &amp; Merchants Bancorp Inc  Com</t>
  </si>
  <si>
    <t>FMAO-US</t>
  </si>
  <si>
    <t>Immersion Corp  Com</t>
  </si>
  <si>
    <t>IMMR-US</t>
  </si>
  <si>
    <t>Abbott Laboratories  Com</t>
  </si>
  <si>
    <t>ABT-US</t>
  </si>
  <si>
    <t>Corteva Inc  Com</t>
  </si>
  <si>
    <t>CTVA-US</t>
  </si>
  <si>
    <t>Kellanova  Com</t>
  </si>
  <si>
    <t>K-US</t>
  </si>
  <si>
    <t>Leidos Holdings Inc  Com</t>
  </si>
  <si>
    <t>LDOS-US</t>
  </si>
  <si>
    <t>Centerpoint Energy Inc  Com</t>
  </si>
  <si>
    <t>CNP-US</t>
  </si>
  <si>
    <t>Technipfmc Plc  Com</t>
  </si>
  <si>
    <t>FTI-US</t>
  </si>
  <si>
    <t>Graco Inc  Com</t>
  </si>
  <si>
    <t>GGG-US</t>
  </si>
  <si>
    <t>Dayforce Inc  Com</t>
  </si>
  <si>
    <t>DAY-US</t>
  </si>
  <si>
    <t>Badger Meter Inc  Com</t>
  </si>
  <si>
    <t>BMI-US</t>
  </si>
  <si>
    <t>Gatx Corp  Com</t>
  </si>
  <si>
    <t>GATX-US</t>
  </si>
  <si>
    <t>Bank Of Hawaii Corp  Com</t>
  </si>
  <si>
    <t>BOH-US</t>
  </si>
  <si>
    <t>Arcbest Corp  Com</t>
  </si>
  <si>
    <t>ARCB-US</t>
  </si>
  <si>
    <t>Digitalbridge Group Inc  Cl A</t>
  </si>
  <si>
    <t>DBRG-US</t>
  </si>
  <si>
    <t>Rlj Lodging Trust  Com</t>
  </si>
  <si>
    <t>RLJ-US</t>
  </si>
  <si>
    <t>Life Time Group Holdings Inc  Com</t>
  </si>
  <si>
    <t>LTH-US</t>
  </si>
  <si>
    <t>First Business Financial Svcs  Com</t>
  </si>
  <si>
    <t>FBIZ-US</t>
  </si>
  <si>
    <t>Johnson &amp; Johnson  Com</t>
  </si>
  <si>
    <t>JNJ-US</t>
  </si>
  <si>
    <t>Intuitive Surgical Inc  Com</t>
  </si>
  <si>
    <t>ISRG-US</t>
  </si>
  <si>
    <t>Texas Instruments Inc  Com</t>
  </si>
  <si>
    <t>TXN-US</t>
  </si>
  <si>
    <t>Pfizer Inc  Com</t>
  </si>
  <si>
    <t>PFE-US</t>
  </si>
  <si>
    <t>Hca Healthcare Inc  Com</t>
  </si>
  <si>
    <t>HCA-US</t>
  </si>
  <si>
    <t>Fastenal Co  Com</t>
  </si>
  <si>
    <t>FAST-US</t>
  </si>
  <si>
    <t>Edison International  Com</t>
  </si>
  <si>
    <t>EIX-US</t>
  </si>
  <si>
    <t>Global Payments Inc  Com</t>
  </si>
  <si>
    <t>GPN-US</t>
  </si>
  <si>
    <t>Citizens Financial Group Inc  Com</t>
  </si>
  <si>
    <t>CFG-US</t>
  </si>
  <si>
    <t>Snap On Inc  Com</t>
  </si>
  <si>
    <t>SNA-US</t>
  </si>
  <si>
    <t>Avery Dennison Corp  Com</t>
  </si>
  <si>
    <t>AVY-US</t>
  </si>
  <si>
    <t>Dominos Pizza Inc  Com</t>
  </si>
  <si>
    <t>DPZ-US</t>
  </si>
  <si>
    <t>J B Hunt Transport Services Inc  Com</t>
  </si>
  <si>
    <t>JBHT-US</t>
  </si>
  <si>
    <t>Saia Inc  Com</t>
  </si>
  <si>
    <t>SAIA-US</t>
  </si>
  <si>
    <t>Globe Life Inc  Com</t>
  </si>
  <si>
    <t>GL-US</t>
  </si>
  <si>
    <t>Aes Corp  Com</t>
  </si>
  <si>
    <t>AES-US</t>
  </si>
  <si>
    <t>Brixmor Property Group Inc  Com</t>
  </si>
  <si>
    <t>BRX-US</t>
  </si>
  <si>
    <t>Lantheus Holdings Inc  Com</t>
  </si>
  <si>
    <t>LNTH-US</t>
  </si>
  <si>
    <t>Rambus Inc (Del)  Com</t>
  </si>
  <si>
    <t>RMBS-US</t>
  </si>
  <si>
    <t>Halozyme Therapeutics Inc  Com</t>
  </si>
  <si>
    <t>HALO-US</t>
  </si>
  <si>
    <t>Mgic Investment Corp (Wi)  Com</t>
  </si>
  <si>
    <t>MTG-US</t>
  </si>
  <si>
    <t>Littelfuse Inc  Com</t>
  </si>
  <si>
    <t>LFUS-US</t>
  </si>
  <si>
    <t>Agco Corp  Com</t>
  </si>
  <si>
    <t>AGCO-US</t>
  </si>
  <si>
    <t>Caretrust Reit Inc  Unit</t>
  </si>
  <si>
    <t>CTRE-US</t>
  </si>
  <si>
    <t>Matson Inc  Com</t>
  </si>
  <si>
    <t>MATX-US</t>
  </si>
  <si>
    <t>Advanced Energy Industries Inc  Com</t>
  </si>
  <si>
    <t>AEIS-US</t>
  </si>
  <si>
    <t>Olin Corp  Com</t>
  </si>
  <si>
    <t>OLN-US</t>
  </si>
  <si>
    <t>Archrock Inc  Com</t>
  </si>
  <si>
    <t>AROC-US</t>
  </si>
  <si>
    <t>Newmarket Corp  Com</t>
  </si>
  <si>
    <t>NEU-US</t>
  </si>
  <si>
    <t>Polaris Inc  Com</t>
  </si>
  <si>
    <t>PII-US</t>
  </si>
  <si>
    <t>Sensient Technologies Corp  Com</t>
  </si>
  <si>
    <t>SXT-US</t>
  </si>
  <si>
    <t>Warrior Met Coal Inc  Com</t>
  </si>
  <si>
    <t>HCC-US</t>
  </si>
  <si>
    <t>Provident Financial Services  Com</t>
  </si>
  <si>
    <t>PFS-US</t>
  </si>
  <si>
    <t>Clearway Energy Inc  Cl C</t>
  </si>
  <si>
    <t>CWEN-US</t>
  </si>
  <si>
    <t>Stock Yards Bancorp Inc  Com</t>
  </si>
  <si>
    <t>SYBT-US</t>
  </si>
  <si>
    <t>Lgi Homes Inc  Com</t>
  </si>
  <si>
    <t>LGIH-US</t>
  </si>
  <si>
    <t>Select Medical Holdings  Inc  Com</t>
  </si>
  <si>
    <t>SEM-US</t>
  </si>
  <si>
    <t>Treehouse Foods Inc  Com</t>
  </si>
  <si>
    <t>THS-US</t>
  </si>
  <si>
    <t>Getty Realty Corp  Com</t>
  </si>
  <si>
    <t>GTY-US</t>
  </si>
  <si>
    <t>Peoples Bancorp Inc  Com</t>
  </si>
  <si>
    <t>PEBO-US</t>
  </si>
  <si>
    <t>Diebold Nixdorf Inc  Com</t>
  </si>
  <si>
    <t>DBD-US</t>
  </si>
  <si>
    <t>Deluxe Corp  Com</t>
  </si>
  <si>
    <t>DLX-US</t>
  </si>
  <si>
    <t>1St Source Corp  Com</t>
  </si>
  <si>
    <t>SRCE-US</t>
  </si>
  <si>
    <t>Utz Brands Inc  Cl A</t>
  </si>
  <si>
    <t>UTZ-US</t>
  </si>
  <si>
    <t>Central Pacific Financial Corp  Com</t>
  </si>
  <si>
    <t>CPF-US</t>
  </si>
  <si>
    <t>Republic Bancorp Inc/Ky  Cl A</t>
  </si>
  <si>
    <t>RBCAA-US</t>
  </si>
  <si>
    <t>Odp Corp  Com</t>
  </si>
  <si>
    <t>ODP-US</t>
  </si>
  <si>
    <t>Univest Financial Corp  Com</t>
  </si>
  <si>
    <t>UVSP-US</t>
  </si>
  <si>
    <t>Clearway Energy Inc  Cl A</t>
  </si>
  <si>
    <t>CWEN.A-US</t>
  </si>
  <si>
    <t>Astec Industries Inc  Com</t>
  </si>
  <si>
    <t>ASTE-US</t>
  </si>
  <si>
    <t>Herbalife Ltd  Com</t>
  </si>
  <si>
    <t>HLF-US</t>
  </si>
  <si>
    <t>Avanos Medical Inc  Com</t>
  </si>
  <si>
    <t>AVNS-US</t>
  </si>
  <si>
    <t>Gorman Rupp Co  Com</t>
  </si>
  <si>
    <t>GRC-US</t>
  </si>
  <si>
    <t>Midwestone Financial Group Inc  Com</t>
  </si>
  <si>
    <t>MOFG-US</t>
  </si>
  <si>
    <t>Jeld Wen Holding Inc  Com</t>
  </si>
  <si>
    <t>JELD-US</t>
  </si>
  <si>
    <t>Ryerson Holding Corp  Com</t>
  </si>
  <si>
    <t>RYI-US</t>
  </si>
  <si>
    <t>Unity Bancorp Inc  Com</t>
  </si>
  <si>
    <t>UNTY-US</t>
  </si>
  <si>
    <t>West Bancorporation Inc  Cap Stk</t>
  </si>
  <si>
    <t>WTBA-US</t>
  </si>
  <si>
    <t>Myers Industries Inc  Com</t>
  </si>
  <si>
    <t>MYE-US</t>
  </si>
  <si>
    <t>Citizens &amp; Northern Corp  Com</t>
  </si>
  <si>
    <t>CZNC-US</t>
  </si>
  <si>
    <t>Bcb Bancorp Inc  Com</t>
  </si>
  <si>
    <t>BCBP-US</t>
  </si>
  <si>
    <t>Bank Of America Corp  Com</t>
  </si>
  <si>
    <t>BAC-US</t>
  </si>
  <si>
    <t>Goldman Sachs Group Inc  Com</t>
  </si>
  <si>
    <t>GS-US</t>
  </si>
  <si>
    <t>Eaton Corp Plc  Com</t>
  </si>
  <si>
    <t>ETN-US</t>
  </si>
  <si>
    <t>Pnc Financial Services Group  Com</t>
  </si>
  <si>
    <t>PNC-US</t>
  </si>
  <si>
    <t>Cigna Group  Com</t>
  </si>
  <si>
    <t>CI-US</t>
  </si>
  <si>
    <t>Ameriprise Financial Inc  Com</t>
  </si>
  <si>
    <t>AMP-US</t>
  </si>
  <si>
    <t>Marathon Petroleum Corp  Com</t>
  </si>
  <si>
    <t>MPC-US</t>
  </si>
  <si>
    <t>W W Grainger Inc  Com</t>
  </si>
  <si>
    <t>GWW-US</t>
  </si>
  <si>
    <t>Newmont Corp  Com</t>
  </si>
  <si>
    <t>NEM-US</t>
  </si>
  <si>
    <t>Teledyne Technologies Inc  Com</t>
  </si>
  <si>
    <t>TDY-US</t>
  </si>
  <si>
    <t>Ball Corp  Com</t>
  </si>
  <si>
    <t>BALL-US</t>
  </si>
  <si>
    <t>Entegris Inc  Com</t>
  </si>
  <si>
    <t>ENTG-US</t>
  </si>
  <si>
    <t>Textron Inc  Com</t>
  </si>
  <si>
    <t>TXT-US</t>
  </si>
  <si>
    <t>Webster Financial Corp  Com</t>
  </si>
  <si>
    <t>WBS-US</t>
  </si>
  <si>
    <t>New York Times Co  Cl A</t>
  </si>
  <si>
    <t>NYT-US</t>
  </si>
  <si>
    <t>Cullen Frost Bankers Inc  Com</t>
  </si>
  <si>
    <t>CFR-US</t>
  </si>
  <si>
    <t>Southstate Corp  Com</t>
  </si>
  <si>
    <t>SSB-US</t>
  </si>
  <si>
    <t>Borgwarner Inc  Com</t>
  </si>
  <si>
    <t>BWA-US</t>
  </si>
  <si>
    <t>Synovus Financial Corp  Com</t>
  </si>
  <si>
    <t>SNV-US</t>
  </si>
  <si>
    <t>Ufp Industries Inc Com</t>
  </si>
  <si>
    <t>UFPI-US</t>
  </si>
  <si>
    <t>Glacier Bancorp Inc  Com</t>
  </si>
  <si>
    <t>GBCI-US</t>
  </si>
  <si>
    <t>Hancock Whitney Corp  Com</t>
  </si>
  <si>
    <t>HWC-US</t>
  </si>
  <si>
    <t>Autonation Inc  Com</t>
  </si>
  <si>
    <t>AN-US</t>
  </si>
  <si>
    <t>Spirit Aerosystems Holdings  Cl A</t>
  </si>
  <si>
    <t>SPR-US</t>
  </si>
  <si>
    <t>Inari Medical Inc  Com</t>
  </si>
  <si>
    <t>NARI-US</t>
  </si>
  <si>
    <t>First Hawaiian Inc  Com</t>
  </si>
  <si>
    <t>FHB-US</t>
  </si>
  <si>
    <t>Tegna Inc  Com</t>
  </si>
  <si>
    <t>TGNA-US</t>
  </si>
  <si>
    <t>Myr Group Inc  Com</t>
  </si>
  <si>
    <t>MYRG-US</t>
  </si>
  <si>
    <t>Strategic Education Inc  Com</t>
  </si>
  <si>
    <t>STRA-US</t>
  </si>
  <si>
    <t>City Holding Co  Com</t>
  </si>
  <si>
    <t>CHCO-US</t>
  </si>
  <si>
    <t>Dana Inc  Com</t>
  </si>
  <si>
    <t>DAN-US</t>
  </si>
  <si>
    <t>Reynolds Consumer Products Inc  Com</t>
  </si>
  <si>
    <t>REYN-US</t>
  </si>
  <si>
    <t>Jbg Smith Properties  Com</t>
  </si>
  <si>
    <t>JBGS-US</t>
  </si>
  <si>
    <t>Sabre Corp  Com</t>
  </si>
  <si>
    <t>SABR-US</t>
  </si>
  <si>
    <t>Winmark Corp  Com</t>
  </si>
  <si>
    <t>WINA-US</t>
  </si>
  <si>
    <t>Kforce Inc  Com</t>
  </si>
  <si>
    <t>KFRC-US</t>
  </si>
  <si>
    <t>First Mid Bancshares Inc  Com</t>
  </si>
  <si>
    <t>FMBH-US</t>
  </si>
  <si>
    <t>Origin Bancorp Inc  Com</t>
  </si>
  <si>
    <t>OBK-US</t>
  </si>
  <si>
    <t>Sonic Automotive Inc  Cl A</t>
  </si>
  <si>
    <t>SAH-US</t>
  </si>
  <si>
    <t>Ducommun Inc (Del)  Com</t>
  </si>
  <si>
    <t>DCO-US</t>
  </si>
  <si>
    <t>Universal Logistics Holdings  Com</t>
  </si>
  <si>
    <t>ULH-US</t>
  </si>
  <si>
    <t>Mativ Holdings Inc  Com</t>
  </si>
  <si>
    <t>MATV-US</t>
  </si>
  <si>
    <t>First Bancorp Inc/Me  Com</t>
  </si>
  <si>
    <t>FNLC-US</t>
  </si>
  <si>
    <t>Calavo Growers Inc  Com</t>
  </si>
  <si>
    <t>CVGW-US</t>
  </si>
  <si>
    <t>Truist Financial Corp  Com</t>
  </si>
  <si>
    <t>TFC-US</t>
  </si>
  <si>
    <t>American Electric Power Inc  Com</t>
  </si>
  <si>
    <t>AEP-US</t>
  </si>
  <si>
    <t>Msci Inc  Cl A</t>
  </si>
  <si>
    <t>MSCI-US</t>
  </si>
  <si>
    <t>Charter Communications Inc  Cl A</t>
  </si>
  <si>
    <t>CHTR-US</t>
  </si>
  <si>
    <t>West Pharmaceutical Services  Com</t>
  </si>
  <si>
    <t>WST-US</t>
  </si>
  <si>
    <t>Revvity Inc  Com</t>
  </si>
  <si>
    <t>RVTY-US</t>
  </si>
  <si>
    <t>Rollins Inc  Com</t>
  </si>
  <si>
    <t>ROL-US</t>
  </si>
  <si>
    <t>First Horizon Corp  Com</t>
  </si>
  <si>
    <t>FHN-US</t>
  </si>
  <si>
    <t>Regal Rexnord Corp  Com</t>
  </si>
  <si>
    <t>RRX-US</t>
  </si>
  <si>
    <t>Churchill Downs Inc  Com</t>
  </si>
  <si>
    <t>CHDN-US</t>
  </si>
  <si>
    <t>Lithia Motors Inc  Com</t>
  </si>
  <si>
    <t>LAD-US</t>
  </si>
  <si>
    <t>Pinnacle Financial Partners Inc  Com</t>
  </si>
  <si>
    <t>PNFP-US</t>
  </si>
  <si>
    <t>Comerica Inc  Com</t>
  </si>
  <si>
    <t>CMA-US</t>
  </si>
  <si>
    <t>Bio Rad Labs Inc  Cl A Com</t>
  </si>
  <si>
    <t>BIO-US</t>
  </si>
  <si>
    <t>Federal Signal Corp  Com</t>
  </si>
  <si>
    <t>FSS-US</t>
  </si>
  <si>
    <t>Cousins Properties Inc  Com</t>
  </si>
  <si>
    <t>CUZ-US</t>
  </si>
  <si>
    <t>First Financial Bankshares  Com</t>
  </si>
  <si>
    <t>FFIN-US</t>
  </si>
  <si>
    <t>Black Hills Corp  Com</t>
  </si>
  <si>
    <t>BKH-US</t>
  </si>
  <si>
    <t>Simmons First National Corp  Cl A</t>
  </si>
  <si>
    <t>SFNC-US</t>
  </si>
  <si>
    <t>Stoneco Ltd  Cl A</t>
  </si>
  <si>
    <t>STNE-US</t>
  </si>
  <si>
    <t>Renasant Corp  Com</t>
  </si>
  <si>
    <t>RNST-US</t>
  </si>
  <si>
    <t>Trustmark Corp  Com</t>
  </si>
  <si>
    <t>TRMK-US</t>
  </si>
  <si>
    <t>Triumph Financial Inc  Com</t>
  </si>
  <si>
    <t>TFIN-US</t>
  </si>
  <si>
    <t>Retail Opportunity Investments  Com</t>
  </si>
  <si>
    <t>ROIC-US</t>
  </si>
  <si>
    <t>Ingevity Corp  Com</t>
  </si>
  <si>
    <t>NGVT-US</t>
  </si>
  <si>
    <t>Alexander &amp; Baldwin Inc  Com</t>
  </si>
  <si>
    <t>ALEX-US</t>
  </si>
  <si>
    <t>Bloomin Brands Inc  Com</t>
  </si>
  <si>
    <t>BLMN-US</t>
  </si>
  <si>
    <t>Community Trust Bancorp Inc  Com</t>
  </si>
  <si>
    <t>CTBI-US</t>
  </si>
  <si>
    <t>Propetro Holding Corp  Com</t>
  </si>
  <si>
    <t>PUMP-US</t>
  </si>
  <si>
    <t>First Community Bancshares/Nv  Com</t>
  </si>
  <si>
    <t>FCBC-US</t>
  </si>
  <si>
    <t>Independent Bank Corp/Mi/  Com</t>
  </si>
  <si>
    <t>IBCP-US</t>
  </si>
  <si>
    <t>Equity Bancshares Inc  Cl A</t>
  </si>
  <si>
    <t>EQBK-US</t>
  </si>
  <si>
    <t>Capital City Bank Group Inc  Com</t>
  </si>
  <si>
    <t>CCBG-US</t>
  </si>
  <si>
    <t>Douglas Dynamics Inc  Com</t>
  </si>
  <si>
    <t>PLOW-US</t>
  </si>
  <si>
    <t>Rpc Inc  Com</t>
  </si>
  <si>
    <t>RES-US</t>
  </si>
  <si>
    <t>Washington Trust Bancorp  Com</t>
  </si>
  <si>
    <t>WASH-US</t>
  </si>
  <si>
    <t>Bridgewater Bancshares Inc  Com</t>
  </si>
  <si>
    <t>BWB-US</t>
  </si>
  <si>
    <t>Broadcom Inc Com</t>
  </si>
  <si>
    <t>AVGO-US</t>
  </si>
  <si>
    <t>Crane Co  Com Wi</t>
  </si>
  <si>
    <t>CR-US</t>
  </si>
  <si>
    <t>Hanesbrands Inc  Com</t>
  </si>
  <si>
    <t>HBI-US</t>
  </si>
  <si>
    <t>Park National Corp  Com</t>
  </si>
  <si>
    <t>PRK-US</t>
  </si>
  <si>
    <t>Seaboard Corp  Com</t>
  </si>
  <si>
    <t>SEB-US</t>
  </si>
  <si>
    <t>L3Harris Technologies Inc  Com</t>
  </si>
  <si>
    <t>LHX-US</t>
  </si>
  <si>
    <t>Lincoln Electric Holdings Inc  Com</t>
  </si>
  <si>
    <t>LECO-US</t>
  </si>
  <si>
    <t>Wyndham Hotels &amp; Resorts Inc  Com</t>
  </si>
  <si>
    <t>WH-US</t>
  </si>
  <si>
    <t>Portland General Electric Co  Com</t>
  </si>
  <si>
    <t>POR-US</t>
  </si>
  <si>
    <t>Park Hotels &amp; Resorts Inc  Com</t>
  </si>
  <si>
    <t>PK-US</t>
  </si>
  <si>
    <t>Amn Healthcare Services Inc  Com</t>
  </si>
  <si>
    <t>AMN-US</t>
  </si>
  <si>
    <t>Kkr Real Estate Finance Trust  Com</t>
  </si>
  <si>
    <t>KREF-US</t>
  </si>
  <si>
    <t>Carrier Global Corp  Com</t>
  </si>
  <si>
    <t>CARR-US</t>
  </si>
  <si>
    <t>Humana Inc  Com</t>
  </si>
  <si>
    <t>HUM-US</t>
  </si>
  <si>
    <t>Ppg Industries Inc  Com</t>
  </si>
  <si>
    <t>PPG-US</t>
  </si>
  <si>
    <t>Interactive Brokers Group Inc  Cl A</t>
  </si>
  <si>
    <t>IBKR-US</t>
  </si>
  <si>
    <t>Cf Industries Holdings Inc  Com</t>
  </si>
  <si>
    <t>CF-US</t>
  </si>
  <si>
    <t>Owens Corning  Com</t>
  </si>
  <si>
    <t>OC-US</t>
  </si>
  <si>
    <t>Agnc Investment Corp  Com</t>
  </si>
  <si>
    <t>AGNC-US</t>
  </si>
  <si>
    <t>Home Bancshares Inc  Com</t>
  </si>
  <si>
    <t>HOMB-US</t>
  </si>
  <si>
    <t>Kontoor Brands Inc  Com</t>
  </si>
  <si>
    <t>KTB-US</t>
  </si>
  <si>
    <t>Kb Home  Com</t>
  </si>
  <si>
    <t>KBH-US</t>
  </si>
  <si>
    <t>Silicon Laboratories Inc  Com</t>
  </si>
  <si>
    <t>SLAB-US</t>
  </si>
  <si>
    <t>Northwest Bancshares Inc  Com</t>
  </si>
  <si>
    <t>NWBI-US</t>
  </si>
  <si>
    <t>Enviri Corp  Com</t>
  </si>
  <si>
    <t>NVRI-US</t>
  </si>
  <si>
    <t>Farmers National Banc Corp  Com</t>
  </si>
  <si>
    <t>FMNB-US</t>
  </si>
  <si>
    <t>Donegal Group Inc  Cl A</t>
  </si>
  <si>
    <t>DGICA-US</t>
  </si>
  <si>
    <t>Sherwin Williams Co  Com</t>
  </si>
  <si>
    <t>SHW-US</t>
  </si>
  <si>
    <t>Eqt Corp  Com</t>
  </si>
  <si>
    <t>EQT-US</t>
  </si>
  <si>
    <t>Huntington Bancshares Inc  Com</t>
  </si>
  <si>
    <t>HBAN-US</t>
  </si>
  <si>
    <t>Regions Financial Corp  Com</t>
  </si>
  <si>
    <t>RF-US</t>
  </si>
  <si>
    <t>Commerce Bancshares Inc /Mo/  Com</t>
  </si>
  <si>
    <t>CBSH-US</t>
  </si>
  <si>
    <t>Sonoco Products Co  Com</t>
  </si>
  <si>
    <t>SON-US</t>
  </si>
  <si>
    <t>Tri Pointe Homes Inc  Com</t>
  </si>
  <si>
    <t>TPH-US</t>
  </si>
  <si>
    <t>Seadrill Ltd  Ord</t>
  </si>
  <si>
    <t>SDRL-US</t>
  </si>
  <si>
    <t>Wesbanco Inc  Com</t>
  </si>
  <si>
    <t>WSBC-US</t>
  </si>
  <si>
    <t>First Financial Corp/In  Com</t>
  </si>
  <si>
    <t>THFF-US</t>
  </si>
  <si>
    <t>Us Bancorp/De  Com</t>
  </si>
  <si>
    <t>USB-US</t>
  </si>
  <si>
    <t>Moodys Corp  Com</t>
  </si>
  <si>
    <t>MCO-US</t>
  </si>
  <si>
    <t>Public Service Enterprise Group  Com</t>
  </si>
  <si>
    <t>PEG-US</t>
  </si>
  <si>
    <t>Iqvia Holdings Inc  Com</t>
  </si>
  <si>
    <t>IQV-US</t>
  </si>
  <si>
    <t>M&amp;T Bank Corp  Com</t>
  </si>
  <si>
    <t>MTB-US</t>
  </si>
  <si>
    <t>Fifth Third Bancorp  Com</t>
  </si>
  <si>
    <t>FITB-US</t>
  </si>
  <si>
    <t>Northern Trust Corp  Com</t>
  </si>
  <si>
    <t>NTRS-US</t>
  </si>
  <si>
    <t>Prosperity Bancshares Inc  Com</t>
  </si>
  <si>
    <t>PB-US</t>
  </si>
  <si>
    <t>Whirlpool Corp  Com</t>
  </si>
  <si>
    <t>WHR-US</t>
  </si>
  <si>
    <t>Parsons Corp  Com</t>
  </si>
  <si>
    <t>PSN-US</t>
  </si>
  <si>
    <t>Texas Capital Bancshares Inc  Com</t>
  </si>
  <si>
    <t>TCBI-US</t>
  </si>
  <si>
    <t>Liberty Energy Inc  Cl A</t>
  </si>
  <si>
    <t>LBRT-US</t>
  </si>
  <si>
    <t>Terawulf Inc  Com</t>
  </si>
  <si>
    <t>WULF-US</t>
  </si>
  <si>
    <t>Cass Information Systems Inc  Com</t>
  </si>
  <si>
    <t>CASS-US</t>
  </si>
  <si>
    <t>Cnb Financial Corp/Pa  Com</t>
  </si>
  <si>
    <t>CCNE-US</t>
  </si>
  <si>
    <t>Civista Bancshares Inc  Com</t>
  </si>
  <si>
    <t>CIVB-US</t>
  </si>
  <si>
    <t>Citizens Financial Services Inc  Com</t>
  </si>
  <si>
    <t>CZFS-US</t>
  </si>
  <si>
    <t>First Long Island Corp  Com</t>
  </si>
  <si>
    <t>FLIC-US</t>
  </si>
  <si>
    <t>Dow Inc  Com</t>
  </si>
  <si>
    <t>DOW-US</t>
  </si>
  <si>
    <t>Hb Fuller Co  Com</t>
  </si>
  <si>
    <t>FUL-US</t>
  </si>
  <si>
    <t>Mission Produce Inc  Com</t>
  </si>
  <si>
    <t>AVO-US</t>
  </si>
  <si>
    <t>Lennar Corp  Cl A</t>
  </si>
  <si>
    <t>LEN-US</t>
  </si>
  <si>
    <t>Lennar Corp  Cl B</t>
  </si>
  <si>
    <t>LEN.B-US</t>
  </si>
  <si>
    <t>Bank Of New York Mellon Corp  Com</t>
  </si>
  <si>
    <t>BK-US</t>
  </si>
  <si>
    <t>Ao Smith Corp  Com</t>
  </si>
  <si>
    <t>AOS-US</t>
  </si>
  <si>
    <t>Lakeland Financial Corp  Com</t>
  </si>
  <si>
    <t>LKFN-US</t>
  </si>
  <si>
    <t>Otter Tail Corp  Com</t>
  </si>
  <si>
    <t>OTTR-US</t>
  </si>
  <si>
    <t>Goodyear Tire &amp; Rubber Co  Com</t>
  </si>
  <si>
    <t>GT-US</t>
  </si>
  <si>
    <t>Carnival Corp  Paired Ctf</t>
  </si>
  <si>
    <t>CCL-US</t>
  </si>
  <si>
    <t>Scilex Holding Co  Com</t>
  </si>
  <si>
    <t>SCLX-US</t>
  </si>
  <si>
    <t>Transmedics Group Inc  Com</t>
  </si>
  <si>
    <t>TMDX-US</t>
  </si>
  <si>
    <t>Opko Health Inc  Com</t>
  </si>
  <si>
    <t>OPK-US</t>
  </si>
  <si>
    <t>Limoneira Co  Com</t>
  </si>
  <si>
    <t>LMNR-US</t>
  </si>
  <si>
    <t>Stanley Black &amp; Decker Inc  Com</t>
  </si>
  <si>
    <t>SWK-US</t>
  </si>
  <si>
    <t>First Industrial Realty Trust  Com</t>
  </si>
  <si>
    <t>FR-US</t>
  </si>
  <si>
    <t>Adobe Inc  Com</t>
  </si>
  <si>
    <t>ADBE-US</t>
  </si>
  <si>
    <t>Sable Offshore Corp  Com</t>
  </si>
  <si>
    <t>SOC-US</t>
  </si>
  <si>
    <t>Super Micro Computer Inc  Com</t>
  </si>
  <si>
    <t>SMCI-US</t>
  </si>
  <si>
    <t>Ammo Inc  Com</t>
  </si>
  <si>
    <t>POWW-US</t>
  </si>
  <si>
    <t>Trump Media &amp; Technology Group  Cl A</t>
  </si>
  <si>
    <t>DJT-US</t>
  </si>
  <si>
    <t>Stride Inc  Com</t>
  </si>
  <si>
    <t>LRN-US</t>
  </si>
  <si>
    <t>Lions Gate Entertainment  Cl B Nvtg</t>
  </si>
  <si>
    <t>LGF.B-US</t>
  </si>
  <si>
    <t>Lions Gate Entertainment Corp  Cl A</t>
  </si>
  <si>
    <t>LGF.A-US</t>
  </si>
  <si>
    <t>Automatic Data Processing Inc  Com</t>
  </si>
  <si>
    <t>ADP-US</t>
  </si>
  <si>
    <t>Medtronic Plc  Com</t>
  </si>
  <si>
    <t>MDT-US</t>
  </si>
  <si>
    <t>Carpenter Technology Corp  Com</t>
  </si>
  <si>
    <t>CRS-US</t>
  </si>
  <si>
    <t>Lenz Therapeutics Inc  Com</t>
  </si>
  <si>
    <t>LENZ-US</t>
  </si>
  <si>
    <t>Q32 Bio Inc  Com</t>
  </si>
  <si>
    <t>QTTB-US</t>
  </si>
  <si>
    <t>Tourmaline Bio Inc  Com</t>
  </si>
  <si>
    <t>TRML-US</t>
  </si>
  <si>
    <t>Disc Medicine Inc  Com</t>
  </si>
  <si>
    <t>IRON-US</t>
  </si>
  <si>
    <t>Apollo Coml Real Estate Finance  Com</t>
  </si>
  <si>
    <t>ARI-US</t>
  </si>
  <si>
    <t>European Wax Center Inc  Cl A</t>
  </si>
  <si>
    <t>EWCZ-US</t>
  </si>
  <si>
    <t>Siriusxm Holding Inc  Com</t>
  </si>
  <si>
    <t>SIRI-US</t>
  </si>
  <si>
    <t>Palomar Holdings Inc  Com</t>
  </si>
  <si>
    <t>PLMR-US</t>
  </si>
  <si>
    <t>Hanmi Financial Corp  Com</t>
  </si>
  <si>
    <t>HAFC-US</t>
  </si>
  <si>
    <t>Pg&amp;E Corp  Com</t>
  </si>
  <si>
    <t>PCG-US</t>
  </si>
  <si>
    <t>Quest Diagnostics Inc  Com</t>
  </si>
  <si>
    <t>DGX-US</t>
  </si>
  <si>
    <t>Alexandria Real Estate Eq  Com</t>
  </si>
  <si>
    <t>ARE-US</t>
  </si>
  <si>
    <t>Edwards Lifesciences Corp  Com</t>
  </si>
  <si>
    <t>EW-US</t>
  </si>
  <si>
    <t>Ati Inc  Com</t>
  </si>
  <si>
    <t>ATI-US</t>
  </si>
  <si>
    <t>Itron Inc  Com</t>
  </si>
  <si>
    <t>ITRI-US</t>
  </si>
  <si>
    <t>Pediatrix Medical Group Inc  Com</t>
  </si>
  <si>
    <t>MD-US</t>
  </si>
  <si>
    <t>3M Co  Com</t>
  </si>
  <si>
    <t>MMM-US</t>
  </si>
  <si>
    <t>Bank Ozk  Com</t>
  </si>
  <si>
    <t>OZK-US</t>
  </si>
  <si>
    <t>Skywest Inc  Com</t>
  </si>
  <si>
    <t>SKYW-US</t>
  </si>
  <si>
    <t>First Bank /Williamstown Nj/  Com</t>
  </si>
  <si>
    <t>FRBA-US</t>
  </si>
  <si>
    <t>Healthpeak Properties Inc  Com</t>
  </si>
  <si>
    <t>DOC-US</t>
  </si>
  <si>
    <t>Cadence Bank  Com</t>
  </si>
  <si>
    <t>CADE-US</t>
  </si>
  <si>
    <t>Banco Latinoamer Comercio Ext  Ord E</t>
  </si>
  <si>
    <t>BLX-US</t>
  </si>
  <si>
    <t>Kirby Corp  Com</t>
  </si>
  <si>
    <t>KEX-US</t>
  </si>
  <si>
    <t>Northeast Bank  Com</t>
  </si>
  <si>
    <t>NBN-US</t>
  </si>
  <si>
    <t>Core Scientific Inc  Com</t>
  </si>
  <si>
    <t>CORZ-US</t>
  </si>
  <si>
    <t>Empty</t>
  </si>
  <si>
    <t xml:space="preserve">Meeting Data 
</t>
  </si>
  <si>
    <t xml:space="preserve">Voting Data 
</t>
  </si>
  <si>
    <t>Pass</t>
  </si>
  <si>
    <t>No found</t>
  </si>
  <si>
    <t>Fail</t>
  </si>
  <si>
    <t>Upcoming</t>
  </si>
  <si>
    <t>Date differnce</t>
  </si>
  <si>
    <t>date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</si>
</sst>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Times New Roman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11.5"/>
    <col customWidth="1" min="4" max="4" width="25.63"/>
    <col customWidth="1" min="5" max="5" width="30.0"/>
    <col customWidth="1" min="6" max="6" width="35.0"/>
    <col customWidth="1" min="7" max="7" width="13.5"/>
    <col customWidth="1" min="8" max="9" width="12.0"/>
  </cols>
  <sheetData>
    <row r="1" ht="27.0" customHeight="1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3"/>
      <c r="H1" s="3"/>
    </row>
    <row r="2">
      <c r="A2" s="4" t="s">
        <v>5</v>
      </c>
      <c r="B2" s="5" t="s">
        <v>6</v>
      </c>
      <c r="C2" s="6"/>
      <c r="D2" s="7">
        <v>45665.0</v>
      </c>
      <c r="E2" s="7">
        <v>45761.0</v>
      </c>
      <c r="F2" s="7">
        <v>45761.0</v>
      </c>
    </row>
    <row r="3">
      <c r="A3" s="4" t="s">
        <v>7</v>
      </c>
      <c r="B3" s="5" t="s">
        <v>8</v>
      </c>
      <c r="C3" s="6"/>
      <c r="D3" s="7">
        <v>45666.0</v>
      </c>
      <c r="E3" s="7">
        <v>45757.0</v>
      </c>
      <c r="F3" s="7">
        <v>45757.0</v>
      </c>
    </row>
    <row r="4">
      <c r="A4" s="4" t="s">
        <v>9</v>
      </c>
      <c r="B4" s="5" t="s">
        <v>10</v>
      </c>
      <c r="C4" s="6"/>
      <c r="D4" s="7">
        <v>45667.0</v>
      </c>
      <c r="E4" s="7">
        <v>45750.0</v>
      </c>
      <c r="F4" s="7">
        <v>45750.0</v>
      </c>
    </row>
    <row r="5">
      <c r="A5" s="4" t="s">
        <v>11</v>
      </c>
      <c r="B5" s="5" t="s">
        <v>12</v>
      </c>
      <c r="C5" s="6"/>
      <c r="D5" s="7">
        <v>45302.0</v>
      </c>
      <c r="E5" s="7">
        <v>45749.0</v>
      </c>
      <c r="F5" s="7">
        <v>45749.0</v>
      </c>
    </row>
    <row r="6">
      <c r="A6" s="4" t="s">
        <v>13</v>
      </c>
      <c r="B6" s="5" t="s">
        <v>14</v>
      </c>
      <c r="C6" s="6"/>
      <c r="D6" s="7">
        <v>45671.0</v>
      </c>
      <c r="E6" s="7">
        <v>45749.0</v>
      </c>
      <c r="F6" s="7">
        <v>45749.0</v>
      </c>
    </row>
    <row r="7">
      <c r="A7" s="4" t="s">
        <v>15</v>
      </c>
      <c r="B7" s="5" t="s">
        <v>16</v>
      </c>
      <c r="C7" s="6"/>
      <c r="D7" s="7">
        <v>45672.0</v>
      </c>
      <c r="E7" s="7">
        <v>45749.0</v>
      </c>
      <c r="F7" s="7">
        <v>45749.0</v>
      </c>
    </row>
    <row r="8">
      <c r="A8" s="4" t="s">
        <v>17</v>
      </c>
      <c r="B8" s="5" t="s">
        <v>18</v>
      </c>
      <c r="C8" s="6"/>
      <c r="D8" s="7">
        <v>45673.0</v>
      </c>
      <c r="E8" s="7">
        <v>45749.0</v>
      </c>
      <c r="F8" s="7">
        <v>45749.0</v>
      </c>
    </row>
    <row r="9">
      <c r="A9" s="4" t="s">
        <v>19</v>
      </c>
      <c r="B9" s="5" t="s">
        <v>20</v>
      </c>
      <c r="C9" s="6"/>
      <c r="D9" s="7">
        <v>45673.0</v>
      </c>
      <c r="E9" s="7">
        <v>45743.0</v>
      </c>
      <c r="F9" s="7">
        <v>45743.0</v>
      </c>
    </row>
    <row r="10">
      <c r="A10" s="4" t="s">
        <v>21</v>
      </c>
      <c r="B10" s="5" t="s">
        <v>22</v>
      </c>
      <c r="C10" s="6"/>
      <c r="D10" s="7">
        <v>45677.0</v>
      </c>
      <c r="E10" s="7">
        <v>45743.0</v>
      </c>
      <c r="F10" s="7">
        <v>45743.0</v>
      </c>
    </row>
    <row r="11">
      <c r="A11" s="4" t="s">
        <v>23</v>
      </c>
      <c r="B11" s="5" t="s">
        <v>24</v>
      </c>
      <c r="C11" s="6"/>
      <c r="D11" s="7">
        <v>45678.0</v>
      </c>
      <c r="E11" s="7">
        <v>45743.0</v>
      </c>
      <c r="F11" s="7">
        <v>45743.0</v>
      </c>
    </row>
    <row r="12">
      <c r="A12" s="4" t="s">
        <v>25</v>
      </c>
      <c r="B12" s="5" t="s">
        <v>26</v>
      </c>
      <c r="C12" s="6"/>
      <c r="D12" s="7">
        <v>45678.0</v>
      </c>
      <c r="E12" s="7">
        <v>45743.0</v>
      </c>
      <c r="F12" s="7">
        <v>45743.0</v>
      </c>
    </row>
    <row r="13">
      <c r="A13" s="4" t="s">
        <v>27</v>
      </c>
      <c r="B13" s="5" t="s">
        <v>28</v>
      </c>
      <c r="C13" s="6"/>
      <c r="D13" s="7">
        <v>45313.0</v>
      </c>
      <c r="E13" s="7">
        <v>45742.0</v>
      </c>
      <c r="F13" s="7">
        <v>45742.0</v>
      </c>
    </row>
    <row r="14">
      <c r="A14" s="4" t="s">
        <v>29</v>
      </c>
      <c r="B14" s="5" t="s">
        <v>30</v>
      </c>
      <c r="C14" s="6"/>
      <c r="D14" s="7">
        <v>45679.0</v>
      </c>
      <c r="E14" s="7">
        <v>45742.0</v>
      </c>
      <c r="F14" s="7">
        <v>45742.0</v>
      </c>
    </row>
    <row r="15">
      <c r="A15" s="4" t="s">
        <v>31</v>
      </c>
      <c r="B15" s="5" t="s">
        <v>32</v>
      </c>
      <c r="C15" s="6"/>
      <c r="D15" s="7">
        <v>45679.0</v>
      </c>
      <c r="E15" s="7">
        <v>45741.0</v>
      </c>
      <c r="F15" s="7">
        <v>45741.0</v>
      </c>
    </row>
    <row r="16">
      <c r="A16" s="4" t="s">
        <v>33</v>
      </c>
      <c r="B16" s="5" t="s">
        <v>34</v>
      </c>
      <c r="C16" s="6"/>
      <c r="D16" s="7">
        <v>45680.0</v>
      </c>
      <c r="E16" s="7">
        <v>45736.0</v>
      </c>
      <c r="F16" s="7">
        <v>45736.0</v>
      </c>
    </row>
    <row r="17">
      <c r="A17" s="4" t="s">
        <v>35</v>
      </c>
      <c r="B17" s="5" t="s">
        <v>36</v>
      </c>
      <c r="C17" s="6"/>
      <c r="D17" s="7">
        <v>45680.0</v>
      </c>
      <c r="E17" s="7">
        <v>45736.0</v>
      </c>
      <c r="F17" s="7">
        <v>45736.0</v>
      </c>
    </row>
    <row r="18">
      <c r="A18" s="4" t="s">
        <v>37</v>
      </c>
      <c r="B18" s="5" t="s">
        <v>38</v>
      </c>
      <c r="C18" s="6"/>
      <c r="D18" s="7">
        <v>45680.0</v>
      </c>
      <c r="E18" s="7">
        <v>45736.0</v>
      </c>
      <c r="F18" s="7">
        <v>45736.0</v>
      </c>
    </row>
    <row r="19">
      <c r="A19" s="4" t="s">
        <v>39</v>
      </c>
      <c r="B19" s="5" t="s">
        <v>40</v>
      </c>
      <c r="C19" s="6"/>
      <c r="D19" s="7">
        <v>45680.0</v>
      </c>
      <c r="E19" s="7">
        <v>45734.0</v>
      </c>
      <c r="F19" s="7">
        <v>45734.0</v>
      </c>
    </row>
    <row r="20">
      <c r="A20" s="4" t="s">
        <v>41</v>
      </c>
      <c r="B20" s="5" t="s">
        <v>42</v>
      </c>
      <c r="C20" s="6"/>
      <c r="D20" s="7">
        <v>45680.0</v>
      </c>
      <c r="E20" s="7">
        <v>45734.0</v>
      </c>
      <c r="F20" s="7">
        <v>45734.0</v>
      </c>
    </row>
    <row r="21">
      <c r="A21" s="4" t="s">
        <v>43</v>
      </c>
      <c r="B21" s="5" t="s">
        <v>44</v>
      </c>
      <c r="C21" s="6"/>
      <c r="D21" s="7">
        <v>45680.0</v>
      </c>
      <c r="E21" s="7">
        <v>45733.0</v>
      </c>
      <c r="F21" s="7">
        <v>45733.0</v>
      </c>
    </row>
    <row r="22">
      <c r="A22" s="4" t="s">
        <v>45</v>
      </c>
      <c r="B22" s="5" t="s">
        <v>46</v>
      </c>
      <c r="C22" s="6"/>
      <c r="D22" s="7">
        <v>45681.0</v>
      </c>
      <c r="E22" s="7">
        <v>45730.0</v>
      </c>
      <c r="F22" s="7">
        <v>45730.0</v>
      </c>
    </row>
    <row r="23">
      <c r="A23" s="4" t="s">
        <v>47</v>
      </c>
      <c r="B23" s="5" t="s">
        <v>48</v>
      </c>
      <c r="C23" s="6"/>
      <c r="D23" s="7">
        <v>45681.0</v>
      </c>
      <c r="E23" s="7">
        <v>45730.0</v>
      </c>
      <c r="F23" s="7">
        <v>45730.0</v>
      </c>
    </row>
    <row r="24">
      <c r="A24" s="4" t="s">
        <v>49</v>
      </c>
      <c r="B24" s="5" t="s">
        <v>50</v>
      </c>
      <c r="C24" s="6"/>
      <c r="D24" s="7">
        <v>45681.0</v>
      </c>
      <c r="E24" s="7">
        <v>45730.0</v>
      </c>
      <c r="F24" s="7">
        <v>45730.0</v>
      </c>
    </row>
    <row r="25">
      <c r="A25" s="4" t="s">
        <v>51</v>
      </c>
      <c r="B25" s="5" t="s">
        <v>52</v>
      </c>
      <c r="C25" s="6"/>
      <c r="D25" s="7">
        <v>45681.0</v>
      </c>
      <c r="E25" s="7">
        <v>45729.0</v>
      </c>
      <c r="F25" s="7">
        <v>45729.0</v>
      </c>
    </row>
    <row r="26">
      <c r="A26" s="4" t="s">
        <v>53</v>
      </c>
      <c r="B26" s="5" t="s">
        <v>54</v>
      </c>
      <c r="C26" s="6"/>
      <c r="D26" s="7">
        <v>45684.0</v>
      </c>
      <c r="E26" s="7">
        <v>45729.0</v>
      </c>
      <c r="F26" s="7">
        <v>45729.0</v>
      </c>
    </row>
    <row r="27">
      <c r="A27" s="4" t="s">
        <v>55</v>
      </c>
      <c r="B27" s="5" t="s">
        <v>56</v>
      </c>
      <c r="C27" s="6"/>
      <c r="D27" s="7">
        <v>45684.0</v>
      </c>
      <c r="E27" s="7">
        <v>45729.0</v>
      </c>
      <c r="F27" s="7">
        <v>45729.0</v>
      </c>
    </row>
    <row r="28">
      <c r="A28" s="4" t="s">
        <v>57</v>
      </c>
      <c r="B28" s="5" t="s">
        <v>58</v>
      </c>
      <c r="C28" s="6"/>
      <c r="D28" s="7">
        <v>45685.0</v>
      </c>
      <c r="E28" s="7">
        <v>45729.0</v>
      </c>
      <c r="F28" s="7">
        <v>45729.0</v>
      </c>
    </row>
    <row r="29">
      <c r="A29" s="4" t="s">
        <v>59</v>
      </c>
      <c r="B29" s="5" t="s">
        <v>60</v>
      </c>
      <c r="C29" s="6"/>
      <c r="D29" s="7">
        <v>45685.0</v>
      </c>
      <c r="E29" s="7">
        <v>45729.0</v>
      </c>
      <c r="F29" s="7">
        <v>45729.0</v>
      </c>
    </row>
    <row r="30">
      <c r="A30" s="4" t="s">
        <v>61</v>
      </c>
      <c r="B30" s="5" t="s">
        <v>62</v>
      </c>
      <c r="C30" s="6"/>
      <c r="D30" s="7">
        <v>45685.0</v>
      </c>
      <c r="E30" s="7">
        <v>45728.0</v>
      </c>
      <c r="F30" s="7">
        <v>45728.0</v>
      </c>
    </row>
    <row r="31">
      <c r="A31" s="4" t="s">
        <v>63</v>
      </c>
      <c r="B31" s="5" t="s">
        <v>64</v>
      </c>
      <c r="C31" s="6"/>
      <c r="D31" s="7">
        <v>45685.0</v>
      </c>
      <c r="E31" s="7">
        <v>45728.0</v>
      </c>
      <c r="F31" s="7">
        <v>45728.0</v>
      </c>
    </row>
    <row r="32">
      <c r="A32" s="4" t="s">
        <v>65</v>
      </c>
      <c r="B32" s="5" t="s">
        <v>66</v>
      </c>
      <c r="C32" s="6"/>
      <c r="D32" s="7">
        <v>45685.0</v>
      </c>
      <c r="E32" s="7">
        <v>45728.0</v>
      </c>
      <c r="F32" s="7">
        <v>45728.0</v>
      </c>
    </row>
    <row r="33">
      <c r="A33" s="4" t="s">
        <v>67</v>
      </c>
      <c r="B33" s="5" t="s">
        <v>68</v>
      </c>
      <c r="C33" s="6"/>
      <c r="D33" s="7">
        <v>45685.0</v>
      </c>
      <c r="E33" s="7">
        <v>45728.0</v>
      </c>
      <c r="F33" s="7">
        <v>45728.0</v>
      </c>
    </row>
    <row r="34">
      <c r="A34" s="4" t="s">
        <v>69</v>
      </c>
      <c r="B34" s="5" t="s">
        <v>70</v>
      </c>
      <c r="C34" s="6"/>
      <c r="D34" s="7">
        <v>45685.0</v>
      </c>
      <c r="E34" s="7">
        <v>45728.0</v>
      </c>
      <c r="F34" s="7">
        <v>45728.0</v>
      </c>
    </row>
    <row r="35">
      <c r="A35" s="4" t="s">
        <v>71</v>
      </c>
      <c r="B35" s="5" t="s">
        <v>72</v>
      </c>
      <c r="C35" s="6"/>
      <c r="D35" s="7">
        <v>45685.0</v>
      </c>
      <c r="E35" s="7">
        <v>45727.0</v>
      </c>
      <c r="F35" s="7">
        <v>45727.0</v>
      </c>
    </row>
    <row r="36">
      <c r="A36" s="4" t="s">
        <v>73</v>
      </c>
      <c r="B36" s="5" t="s">
        <v>74</v>
      </c>
      <c r="C36" s="6"/>
      <c r="D36" s="7">
        <v>45686.0</v>
      </c>
      <c r="E36" s="7">
        <v>45727.0</v>
      </c>
      <c r="F36" s="7">
        <v>45727.0</v>
      </c>
    </row>
    <row r="37">
      <c r="A37" s="4" t="s">
        <v>75</v>
      </c>
      <c r="B37" s="5" t="s">
        <v>76</v>
      </c>
      <c r="C37" s="6"/>
      <c r="D37" s="7">
        <v>45686.0</v>
      </c>
      <c r="E37" s="7">
        <v>45727.0</v>
      </c>
      <c r="F37" s="7">
        <v>45727.0</v>
      </c>
    </row>
    <row r="38">
      <c r="A38" s="4" t="s">
        <v>77</v>
      </c>
      <c r="B38" s="5" t="s">
        <v>78</v>
      </c>
      <c r="C38" s="6"/>
      <c r="D38" s="7">
        <v>45687.0</v>
      </c>
      <c r="E38" s="7">
        <v>45727.0</v>
      </c>
      <c r="F38" s="7">
        <v>45727.0</v>
      </c>
    </row>
    <row r="39">
      <c r="A39" s="4" t="s">
        <v>79</v>
      </c>
      <c r="B39" s="5" t="s">
        <v>80</v>
      </c>
      <c r="C39" s="6"/>
      <c r="D39" s="7">
        <v>45687.0</v>
      </c>
      <c r="E39" s="7">
        <v>45727.0</v>
      </c>
      <c r="F39" s="7">
        <v>45727.0</v>
      </c>
    </row>
    <row r="40">
      <c r="A40" s="4" t="s">
        <v>81</v>
      </c>
      <c r="B40" s="5" t="s">
        <v>82</v>
      </c>
      <c r="C40" s="6"/>
      <c r="D40" s="7">
        <v>45687.0</v>
      </c>
      <c r="E40" s="7">
        <v>45726.0</v>
      </c>
      <c r="F40" s="7">
        <v>45726.0</v>
      </c>
    </row>
    <row r="41">
      <c r="A41" s="4" t="s">
        <v>83</v>
      </c>
      <c r="B41" s="5" t="s">
        <v>84</v>
      </c>
      <c r="C41" s="6"/>
      <c r="D41" s="7">
        <v>45687.0</v>
      </c>
      <c r="E41" s="7">
        <v>45722.0</v>
      </c>
      <c r="F41" s="7">
        <v>45722.0</v>
      </c>
    </row>
    <row r="42">
      <c r="A42" s="4" t="s">
        <v>85</v>
      </c>
      <c r="B42" s="5" t="s">
        <v>86</v>
      </c>
      <c r="C42" s="6"/>
      <c r="D42" s="7">
        <v>45687.0</v>
      </c>
      <c r="E42" s="7">
        <v>45722.0</v>
      </c>
      <c r="F42" s="7">
        <v>45722.0</v>
      </c>
    </row>
    <row r="43">
      <c r="A43" s="4" t="s">
        <v>87</v>
      </c>
      <c r="B43" s="5" t="s">
        <v>88</v>
      </c>
      <c r="C43" s="6"/>
      <c r="D43" s="7">
        <v>45688.0</v>
      </c>
      <c r="E43" s="7">
        <v>45722.0</v>
      </c>
      <c r="F43" s="7">
        <v>45722.0</v>
      </c>
    </row>
    <row r="44">
      <c r="A44" s="4" t="s">
        <v>89</v>
      </c>
      <c r="B44" s="5" t="s">
        <v>90</v>
      </c>
      <c r="C44" s="6"/>
      <c r="D44" s="7">
        <v>45691.0</v>
      </c>
      <c r="E44" s="7">
        <v>45722.0</v>
      </c>
      <c r="F44" s="7">
        <v>45722.0</v>
      </c>
    </row>
    <row r="45">
      <c r="A45" s="4" t="s">
        <v>91</v>
      </c>
      <c r="B45" s="5" t="s">
        <v>92</v>
      </c>
      <c r="C45" s="6"/>
      <c r="D45" s="7">
        <v>45692.0</v>
      </c>
      <c r="E45" s="7">
        <v>45722.0</v>
      </c>
      <c r="F45" s="7">
        <v>45722.0</v>
      </c>
    </row>
    <row r="46">
      <c r="A46" s="4" t="s">
        <v>93</v>
      </c>
      <c r="B46" s="5" t="s">
        <v>94</v>
      </c>
      <c r="C46" s="6"/>
      <c r="D46" s="7">
        <v>45692.0</v>
      </c>
      <c r="E46" s="7">
        <v>45722.0</v>
      </c>
      <c r="F46" s="7">
        <v>45722.0</v>
      </c>
    </row>
    <row r="47">
      <c r="A47" s="4" t="s">
        <v>95</v>
      </c>
      <c r="B47" s="5" t="s">
        <v>96</v>
      </c>
      <c r="C47" s="6"/>
      <c r="D47" s="7">
        <v>45692.0</v>
      </c>
      <c r="E47" s="7">
        <v>45721.0</v>
      </c>
      <c r="F47" s="7">
        <v>45721.0</v>
      </c>
    </row>
    <row r="48">
      <c r="A48" s="4" t="s">
        <v>97</v>
      </c>
      <c r="B48" s="5" t="s">
        <v>98</v>
      </c>
      <c r="C48" s="6"/>
      <c r="D48" s="7">
        <v>45692.0</v>
      </c>
      <c r="E48" s="7">
        <v>45721.0</v>
      </c>
      <c r="F48" s="7">
        <v>45721.0</v>
      </c>
    </row>
    <row r="49">
      <c r="A49" s="4" t="s">
        <v>99</v>
      </c>
      <c r="B49" s="5" t="s">
        <v>100</v>
      </c>
      <c r="C49" s="6"/>
      <c r="D49" s="7">
        <v>45692.0</v>
      </c>
      <c r="E49" s="7">
        <v>45721.0</v>
      </c>
      <c r="F49" s="7">
        <v>45721.0</v>
      </c>
    </row>
    <row r="50">
      <c r="A50" s="4" t="s">
        <v>101</v>
      </c>
      <c r="B50" s="5" t="s">
        <v>102</v>
      </c>
      <c r="C50" s="6"/>
      <c r="D50" s="7">
        <v>45692.0</v>
      </c>
      <c r="E50" s="7">
        <v>45721.0</v>
      </c>
      <c r="F50" s="7">
        <v>45721.0</v>
      </c>
    </row>
    <row r="51">
      <c r="A51" s="4" t="s">
        <v>103</v>
      </c>
      <c r="B51" s="5" t="s">
        <v>104</v>
      </c>
      <c r="C51" s="6"/>
      <c r="D51" s="7">
        <v>45693.0</v>
      </c>
      <c r="E51" s="7">
        <v>45721.0</v>
      </c>
      <c r="F51" s="7">
        <v>45721.0</v>
      </c>
    </row>
    <row r="52">
      <c r="A52" s="4" t="s">
        <v>105</v>
      </c>
      <c r="B52" s="5" t="s">
        <v>106</v>
      </c>
      <c r="C52" s="6"/>
      <c r="D52" s="7">
        <v>45693.0</v>
      </c>
      <c r="E52" s="7">
        <v>45721.0</v>
      </c>
      <c r="F52" s="7">
        <v>45721.0</v>
      </c>
    </row>
    <row r="53">
      <c r="A53" s="4" t="s">
        <v>107</v>
      </c>
      <c r="B53" s="5" t="s">
        <v>108</v>
      </c>
      <c r="C53" s="6"/>
      <c r="D53" s="7">
        <v>45693.0</v>
      </c>
      <c r="E53" s="7">
        <v>45720.0</v>
      </c>
      <c r="F53" s="7">
        <v>45720.0</v>
      </c>
    </row>
    <row r="54">
      <c r="A54" s="4" t="s">
        <v>109</v>
      </c>
      <c r="B54" s="5" t="s">
        <v>110</v>
      </c>
      <c r="C54" s="6"/>
      <c r="D54" s="7">
        <v>45694.0</v>
      </c>
      <c r="E54" s="7">
        <v>45720.0</v>
      </c>
      <c r="F54" s="7">
        <v>45720.0</v>
      </c>
    </row>
    <row r="55">
      <c r="A55" s="4" t="s">
        <v>111</v>
      </c>
      <c r="B55" s="5" t="s">
        <v>112</v>
      </c>
      <c r="C55" s="6"/>
      <c r="D55" s="7">
        <v>45694.0</v>
      </c>
      <c r="E55" s="7">
        <v>45720.0</v>
      </c>
      <c r="F55" s="7">
        <v>45720.0</v>
      </c>
    </row>
    <row r="56">
      <c r="A56" s="4" t="s">
        <v>113</v>
      </c>
      <c r="B56" s="5" t="s">
        <v>114</v>
      </c>
      <c r="C56" s="6"/>
      <c r="D56" s="7">
        <v>45694.0</v>
      </c>
      <c r="E56" s="7">
        <v>45719.0</v>
      </c>
      <c r="F56" s="7">
        <v>45719.0</v>
      </c>
    </row>
    <row r="57">
      <c r="A57" s="4" t="s">
        <v>115</v>
      </c>
      <c r="B57" s="5" t="s">
        <v>116</v>
      </c>
      <c r="C57" s="6"/>
      <c r="D57" s="7">
        <v>45694.0</v>
      </c>
      <c r="E57" s="7">
        <v>45719.0</v>
      </c>
      <c r="F57" s="7">
        <v>45719.0</v>
      </c>
    </row>
    <row r="58">
      <c r="A58" s="4" t="s">
        <v>117</v>
      </c>
      <c r="B58" s="5" t="s">
        <v>118</v>
      </c>
      <c r="C58" s="6"/>
      <c r="D58" s="7">
        <v>45694.0</v>
      </c>
      <c r="E58" s="7">
        <v>45716.0</v>
      </c>
      <c r="F58" s="7">
        <v>45716.0</v>
      </c>
    </row>
    <row r="59">
      <c r="A59" s="4" t="s">
        <v>119</v>
      </c>
      <c r="B59" s="5" t="s">
        <v>120</v>
      </c>
      <c r="C59" s="6"/>
      <c r="D59" s="7">
        <v>45694.0</v>
      </c>
      <c r="E59" s="7">
        <v>45716.0</v>
      </c>
      <c r="F59" s="7">
        <v>45716.0</v>
      </c>
    </row>
    <row r="60">
      <c r="A60" s="4" t="s">
        <v>121</v>
      </c>
      <c r="B60" s="5" t="s">
        <v>122</v>
      </c>
      <c r="C60" s="6"/>
      <c r="D60" s="7">
        <v>45694.0</v>
      </c>
      <c r="E60" s="7">
        <v>45716.0</v>
      </c>
      <c r="F60" s="7">
        <v>45716.0</v>
      </c>
    </row>
    <row r="61">
      <c r="A61" s="4" t="s">
        <v>123</v>
      </c>
      <c r="B61" s="5" t="s">
        <v>124</v>
      </c>
      <c r="C61" s="6"/>
      <c r="D61" s="7">
        <v>45695.0</v>
      </c>
      <c r="E61" s="7">
        <v>45715.0</v>
      </c>
      <c r="F61" s="7">
        <v>45715.0</v>
      </c>
    </row>
    <row r="62">
      <c r="A62" s="4" t="s">
        <v>125</v>
      </c>
      <c r="B62" s="5" t="s">
        <v>126</v>
      </c>
      <c r="C62" s="6"/>
      <c r="D62" s="7">
        <v>45699.0</v>
      </c>
      <c r="E62" s="7">
        <v>45715.0</v>
      </c>
      <c r="F62" s="7">
        <v>45715.0</v>
      </c>
    </row>
    <row r="63">
      <c r="A63" s="4" t="s">
        <v>127</v>
      </c>
      <c r="B63" s="5" t="s">
        <v>128</v>
      </c>
      <c r="C63" s="6"/>
      <c r="D63" s="7">
        <v>45699.0</v>
      </c>
      <c r="E63" s="7">
        <v>45715.0</v>
      </c>
      <c r="F63" s="7">
        <v>45715.0</v>
      </c>
    </row>
    <row r="64">
      <c r="A64" s="4" t="s">
        <v>129</v>
      </c>
      <c r="B64" s="5" t="s">
        <v>130</v>
      </c>
      <c r="C64" s="6"/>
      <c r="D64" s="7">
        <v>45699.0</v>
      </c>
      <c r="E64" s="7">
        <v>45715.0</v>
      </c>
      <c r="F64" s="7">
        <v>45715.0</v>
      </c>
    </row>
    <row r="65">
      <c r="A65" s="4" t="s">
        <v>131</v>
      </c>
      <c r="B65" s="5" t="s">
        <v>132</v>
      </c>
      <c r="C65" s="6"/>
      <c r="D65" s="7">
        <v>45334.0</v>
      </c>
      <c r="E65" s="7">
        <v>45715.0</v>
      </c>
      <c r="F65" s="7">
        <v>45715.0</v>
      </c>
    </row>
    <row r="66">
      <c r="A66" s="4" t="s">
        <v>133</v>
      </c>
      <c r="B66" s="5" t="s">
        <v>134</v>
      </c>
      <c r="C66" s="6"/>
      <c r="D66" s="7">
        <v>45700.0</v>
      </c>
      <c r="E66" s="7">
        <v>45715.0</v>
      </c>
      <c r="F66" s="7">
        <v>45715.0</v>
      </c>
    </row>
    <row r="67">
      <c r="A67" s="4" t="s">
        <v>135</v>
      </c>
      <c r="B67" s="5" t="s">
        <v>136</v>
      </c>
      <c r="C67" s="6"/>
      <c r="D67" s="7">
        <v>45700.0</v>
      </c>
      <c r="E67" s="7">
        <v>45714.0</v>
      </c>
      <c r="F67" s="7">
        <v>45714.0</v>
      </c>
    </row>
    <row r="68">
      <c r="A68" s="4" t="s">
        <v>137</v>
      </c>
      <c r="B68" s="5" t="s">
        <v>138</v>
      </c>
      <c r="C68" s="6"/>
      <c r="D68" s="7">
        <v>45700.0</v>
      </c>
      <c r="E68" s="7">
        <v>45714.0</v>
      </c>
      <c r="F68" s="7">
        <v>45714.0</v>
      </c>
    </row>
    <row r="69">
      <c r="A69" s="4" t="s">
        <v>139</v>
      </c>
      <c r="B69" s="5" t="s">
        <v>140</v>
      </c>
      <c r="C69" s="6"/>
      <c r="D69" s="7">
        <v>45700.0</v>
      </c>
      <c r="E69" s="7">
        <v>45713.0</v>
      </c>
      <c r="F69" s="7">
        <v>45713.0</v>
      </c>
    </row>
    <row r="70">
      <c r="A70" s="4" t="s">
        <v>141</v>
      </c>
      <c r="B70" s="5" t="s">
        <v>142</v>
      </c>
      <c r="C70" s="6"/>
      <c r="D70" s="7">
        <v>45700.0</v>
      </c>
      <c r="E70" s="7">
        <v>45713.0</v>
      </c>
      <c r="F70" s="7">
        <v>45713.0</v>
      </c>
    </row>
    <row r="71">
      <c r="A71" s="4" t="s">
        <v>143</v>
      </c>
      <c r="B71" s="5" t="s">
        <v>144</v>
      </c>
      <c r="C71" s="6"/>
      <c r="D71" s="7">
        <v>45701.0</v>
      </c>
      <c r="E71" s="7">
        <v>45713.0</v>
      </c>
      <c r="F71" s="7">
        <v>45713.0</v>
      </c>
    </row>
    <row r="72">
      <c r="A72" s="4" t="s">
        <v>145</v>
      </c>
      <c r="B72" s="5" t="s">
        <v>146</v>
      </c>
      <c r="C72" s="6"/>
      <c r="D72" s="7">
        <v>45701.0</v>
      </c>
      <c r="E72" s="7">
        <v>45712.0</v>
      </c>
      <c r="F72" s="7">
        <v>45712.0</v>
      </c>
    </row>
    <row r="73">
      <c r="A73" s="4" t="s">
        <v>147</v>
      </c>
      <c r="B73" s="5" t="s">
        <v>148</v>
      </c>
      <c r="C73" s="6"/>
      <c r="D73" s="7">
        <v>45701.0</v>
      </c>
      <c r="E73" s="7">
        <v>45712.0</v>
      </c>
      <c r="F73" s="7">
        <v>45712.0</v>
      </c>
    </row>
    <row r="74">
      <c r="A74" s="4" t="s">
        <v>149</v>
      </c>
      <c r="B74" s="5" t="s">
        <v>150</v>
      </c>
      <c r="C74" s="6"/>
      <c r="D74" s="7">
        <v>45706.0</v>
      </c>
      <c r="E74" s="7">
        <v>45709.0</v>
      </c>
      <c r="F74" s="7">
        <v>45709.0</v>
      </c>
    </row>
    <row r="75">
      <c r="A75" s="4" t="s">
        <v>151</v>
      </c>
      <c r="B75" s="5" t="s">
        <v>152</v>
      </c>
      <c r="C75" s="6"/>
      <c r="D75" s="7">
        <v>45707.0</v>
      </c>
      <c r="E75" s="7">
        <v>45708.0</v>
      </c>
      <c r="F75" s="7">
        <v>45708.0</v>
      </c>
    </row>
    <row r="76">
      <c r="A76" s="4" t="s">
        <v>153</v>
      </c>
      <c r="B76" s="5" t="s">
        <v>154</v>
      </c>
      <c r="C76" s="6"/>
      <c r="D76" s="7">
        <v>45707.0</v>
      </c>
      <c r="E76" s="7">
        <v>45708.0</v>
      </c>
      <c r="F76" s="7">
        <v>45708.0</v>
      </c>
    </row>
    <row r="77">
      <c r="A77" s="4" t="s">
        <v>155</v>
      </c>
      <c r="B77" s="5" t="s">
        <v>156</v>
      </c>
      <c r="C77" s="6"/>
      <c r="D77" s="7">
        <v>45342.0</v>
      </c>
      <c r="E77" s="7">
        <v>45708.0</v>
      </c>
      <c r="F77" s="7">
        <v>45708.0</v>
      </c>
    </row>
    <row r="78">
      <c r="A78" s="4" t="s">
        <v>157</v>
      </c>
      <c r="B78" s="5" t="s">
        <v>158</v>
      </c>
      <c r="C78" s="6"/>
      <c r="D78" s="7">
        <v>45708.0</v>
      </c>
      <c r="E78" s="7">
        <v>45708.0</v>
      </c>
      <c r="F78" s="7">
        <v>45708.0</v>
      </c>
    </row>
    <row r="79">
      <c r="A79" s="4" t="s">
        <v>159</v>
      </c>
      <c r="B79" s="5" t="s">
        <v>160</v>
      </c>
      <c r="C79" s="6"/>
      <c r="D79" s="7">
        <v>45708.0</v>
      </c>
      <c r="E79" s="7">
        <v>45707.0</v>
      </c>
      <c r="F79" s="7">
        <v>45707.0</v>
      </c>
    </row>
    <row r="80">
      <c r="A80" s="4" t="s">
        <v>161</v>
      </c>
      <c r="B80" s="5" t="s">
        <v>162</v>
      </c>
      <c r="C80" s="6"/>
      <c r="D80" s="7">
        <v>45708.0</v>
      </c>
      <c r="E80" s="7">
        <v>45707.0</v>
      </c>
      <c r="F80" s="7">
        <v>45707.0</v>
      </c>
    </row>
    <row r="81">
      <c r="A81" s="4" t="s">
        <v>163</v>
      </c>
      <c r="B81" s="5" t="s">
        <v>164</v>
      </c>
      <c r="C81" s="6"/>
      <c r="D81" s="7">
        <v>45708.0</v>
      </c>
      <c r="E81" s="7">
        <v>45706.0</v>
      </c>
      <c r="F81" s="7">
        <v>45706.0</v>
      </c>
    </row>
    <row r="82">
      <c r="A82" s="4" t="s">
        <v>165</v>
      </c>
      <c r="B82" s="5" t="s">
        <v>166</v>
      </c>
      <c r="C82" s="6"/>
      <c r="D82" s="7">
        <v>45709.0</v>
      </c>
      <c r="E82" s="7">
        <v>45701.0</v>
      </c>
      <c r="F82" s="7">
        <v>45701.0</v>
      </c>
    </row>
    <row r="83">
      <c r="A83" s="4" t="s">
        <v>167</v>
      </c>
      <c r="B83" s="5" t="s">
        <v>168</v>
      </c>
      <c r="C83" s="6"/>
      <c r="D83" s="7">
        <v>45712.0</v>
      </c>
      <c r="E83" s="7">
        <v>45701.0</v>
      </c>
      <c r="F83" s="7">
        <v>45701.0</v>
      </c>
    </row>
    <row r="84">
      <c r="A84" s="4" t="s">
        <v>169</v>
      </c>
      <c r="B84" s="5" t="s">
        <v>170</v>
      </c>
      <c r="C84" s="6"/>
      <c r="D84" s="7">
        <v>45712.0</v>
      </c>
      <c r="E84" s="7">
        <v>45701.0</v>
      </c>
      <c r="F84" s="7">
        <v>45701.0</v>
      </c>
    </row>
    <row r="85">
      <c r="A85" s="4" t="s">
        <v>171</v>
      </c>
      <c r="B85" s="5" t="s">
        <v>172</v>
      </c>
      <c r="C85" s="6"/>
      <c r="D85" s="7">
        <v>45713.0</v>
      </c>
      <c r="E85" s="7">
        <v>45700.0</v>
      </c>
      <c r="F85" s="7">
        <v>45700.0</v>
      </c>
    </row>
    <row r="86">
      <c r="A86" s="4" t="s">
        <v>173</v>
      </c>
      <c r="B86" s="5" t="s">
        <v>174</v>
      </c>
      <c r="C86" s="6"/>
      <c r="D86" s="7">
        <v>45713.0</v>
      </c>
      <c r="E86" s="7">
        <v>45700.0</v>
      </c>
      <c r="F86" s="7">
        <v>45700.0</v>
      </c>
    </row>
    <row r="87">
      <c r="A87" s="4" t="s">
        <v>175</v>
      </c>
      <c r="B87" s="5" t="s">
        <v>176</v>
      </c>
      <c r="C87" s="6"/>
      <c r="D87" s="7">
        <v>45713.0</v>
      </c>
      <c r="E87" s="7">
        <v>45700.0</v>
      </c>
      <c r="F87" s="7">
        <v>45700.0</v>
      </c>
    </row>
    <row r="88">
      <c r="A88" s="4" t="s">
        <v>177</v>
      </c>
      <c r="B88" s="5" t="s">
        <v>178</v>
      </c>
      <c r="C88" s="6"/>
      <c r="D88" s="7">
        <v>45714.0</v>
      </c>
      <c r="E88" s="7">
        <v>45700.0</v>
      </c>
      <c r="F88" s="7">
        <v>45700.0</v>
      </c>
    </row>
    <row r="89">
      <c r="A89" s="4" t="s">
        <v>179</v>
      </c>
      <c r="B89" s="5" t="s">
        <v>180</v>
      </c>
      <c r="C89" s="6"/>
      <c r="D89" s="7">
        <v>45714.0</v>
      </c>
      <c r="E89" s="7">
        <v>45700.0</v>
      </c>
      <c r="F89" s="7">
        <v>45700.0</v>
      </c>
    </row>
    <row r="90">
      <c r="A90" s="4" t="s">
        <v>181</v>
      </c>
      <c r="B90" s="5" t="s">
        <v>182</v>
      </c>
      <c r="C90" s="6"/>
      <c r="D90" s="7">
        <v>45715.0</v>
      </c>
      <c r="E90" s="7">
        <v>45699.0</v>
      </c>
      <c r="F90" s="7">
        <v>45699.0</v>
      </c>
    </row>
    <row r="91">
      <c r="A91" s="4" t="s">
        <v>183</v>
      </c>
      <c r="B91" s="5" t="s">
        <v>184</v>
      </c>
      <c r="C91" s="6"/>
      <c r="D91" s="7">
        <v>45715.0</v>
      </c>
      <c r="E91" s="7">
        <v>45699.0</v>
      </c>
      <c r="F91" s="7">
        <v>45699.0</v>
      </c>
    </row>
    <row r="92">
      <c r="A92" s="4" t="s">
        <v>185</v>
      </c>
      <c r="B92" s="5" t="s">
        <v>186</v>
      </c>
      <c r="C92" s="6"/>
      <c r="D92" s="7">
        <v>45715.0</v>
      </c>
      <c r="E92" s="7">
        <v>45699.0</v>
      </c>
      <c r="F92" s="7">
        <v>45699.0</v>
      </c>
    </row>
    <row r="93">
      <c r="A93" s="4" t="s">
        <v>187</v>
      </c>
      <c r="B93" s="5" t="s">
        <v>188</v>
      </c>
      <c r="C93" s="6"/>
      <c r="D93" s="7">
        <v>45715.0</v>
      </c>
      <c r="E93" s="7">
        <v>45695.0</v>
      </c>
      <c r="F93" s="7">
        <v>45695.0</v>
      </c>
    </row>
    <row r="94">
      <c r="A94" s="4" t="s">
        <v>189</v>
      </c>
      <c r="B94" s="5" t="s">
        <v>190</v>
      </c>
      <c r="C94" s="6"/>
      <c r="D94" s="7">
        <v>45715.0</v>
      </c>
      <c r="E94" s="7">
        <v>45694.0</v>
      </c>
      <c r="F94" s="7">
        <v>45694.0</v>
      </c>
    </row>
    <row r="95">
      <c r="A95" s="4" t="s">
        <v>191</v>
      </c>
      <c r="B95" s="5" t="s">
        <v>192</v>
      </c>
      <c r="C95" s="6"/>
      <c r="D95" s="7">
        <v>45715.0</v>
      </c>
      <c r="E95" s="7">
        <v>45694.0</v>
      </c>
      <c r="F95" s="7">
        <v>45694.0</v>
      </c>
    </row>
    <row r="96">
      <c r="A96" s="4" t="s">
        <v>193</v>
      </c>
      <c r="B96" s="5" t="s">
        <v>194</v>
      </c>
      <c r="C96" s="6"/>
      <c r="D96" s="7">
        <v>45716.0</v>
      </c>
      <c r="E96" s="7">
        <v>45694.0</v>
      </c>
      <c r="F96" s="7">
        <v>45694.0</v>
      </c>
    </row>
    <row r="97">
      <c r="A97" s="4" t="s">
        <v>195</v>
      </c>
      <c r="B97" s="5" t="s">
        <v>196</v>
      </c>
      <c r="C97" s="6"/>
      <c r="D97" s="7">
        <v>45716.0</v>
      </c>
      <c r="E97" s="7">
        <v>45694.0</v>
      </c>
      <c r="F97" s="7">
        <v>45694.0</v>
      </c>
    </row>
    <row r="98">
      <c r="A98" s="4" t="s">
        <v>197</v>
      </c>
      <c r="B98" s="5" t="s">
        <v>198</v>
      </c>
      <c r="C98" s="6"/>
      <c r="D98" s="7">
        <v>45716.0</v>
      </c>
      <c r="E98" s="7">
        <v>45694.0</v>
      </c>
      <c r="F98" s="7">
        <v>45694.0</v>
      </c>
    </row>
    <row r="99">
      <c r="A99" s="4" t="s">
        <v>199</v>
      </c>
      <c r="B99" s="5" t="s">
        <v>200</v>
      </c>
      <c r="C99" s="6"/>
      <c r="D99" s="7">
        <v>45719.0</v>
      </c>
      <c r="E99" s="7">
        <v>45694.0</v>
      </c>
      <c r="F99" s="7">
        <v>45694.0</v>
      </c>
    </row>
    <row r="100">
      <c r="A100" s="4" t="s">
        <v>201</v>
      </c>
      <c r="B100" s="5" t="s">
        <v>202</v>
      </c>
      <c r="C100" s="6"/>
      <c r="D100" s="7">
        <v>45719.0</v>
      </c>
      <c r="E100" s="7">
        <v>45694.0</v>
      </c>
      <c r="F100" s="7">
        <v>45694.0</v>
      </c>
    </row>
    <row r="101">
      <c r="A101" s="4" t="s">
        <v>203</v>
      </c>
      <c r="B101" s="5" t="s">
        <v>204</v>
      </c>
      <c r="C101" s="6"/>
      <c r="D101" s="7">
        <v>45720.0</v>
      </c>
      <c r="E101" s="7">
        <v>45693.0</v>
      </c>
      <c r="F101" s="7">
        <v>45693.0</v>
      </c>
    </row>
    <row r="102">
      <c r="A102" s="4" t="s">
        <v>205</v>
      </c>
      <c r="B102" s="5" t="s">
        <v>206</v>
      </c>
      <c r="C102" s="6"/>
      <c r="D102" s="7">
        <v>45720.0</v>
      </c>
      <c r="E102" s="7">
        <v>45693.0</v>
      </c>
      <c r="F102" s="7">
        <v>45693.0</v>
      </c>
    </row>
    <row r="103">
      <c r="A103" s="4" t="s">
        <v>207</v>
      </c>
      <c r="B103" s="5" t="s">
        <v>208</v>
      </c>
      <c r="C103" s="6"/>
      <c r="D103" s="7">
        <v>45720.0</v>
      </c>
      <c r="E103" s="7">
        <v>45693.0</v>
      </c>
      <c r="F103" s="7">
        <v>45693.0</v>
      </c>
    </row>
    <row r="104">
      <c r="A104" s="4" t="s">
        <v>209</v>
      </c>
      <c r="B104" s="5" t="s">
        <v>210</v>
      </c>
      <c r="C104" s="6"/>
      <c r="D104" s="7">
        <v>45721.0</v>
      </c>
      <c r="E104" s="7">
        <v>45692.0</v>
      </c>
      <c r="F104" s="7">
        <v>45692.0</v>
      </c>
    </row>
    <row r="105">
      <c r="A105" s="4" t="s">
        <v>211</v>
      </c>
      <c r="B105" s="5" t="s">
        <v>212</v>
      </c>
      <c r="C105" s="6"/>
      <c r="D105" s="7">
        <v>45721.0</v>
      </c>
      <c r="E105" s="7">
        <v>45692.0</v>
      </c>
      <c r="F105" s="7">
        <v>45692.0</v>
      </c>
    </row>
    <row r="106">
      <c r="A106" s="4" t="s">
        <v>213</v>
      </c>
      <c r="B106" s="5" t="s">
        <v>214</v>
      </c>
      <c r="C106" s="6"/>
      <c r="D106" s="7">
        <v>45721.0</v>
      </c>
      <c r="E106" s="7">
        <v>45692.0</v>
      </c>
      <c r="F106" s="7">
        <v>45692.0</v>
      </c>
    </row>
    <row r="107">
      <c r="A107" s="4" t="s">
        <v>215</v>
      </c>
      <c r="B107" s="5" t="s">
        <v>216</v>
      </c>
      <c r="C107" s="6"/>
      <c r="D107" s="7">
        <v>45721.0</v>
      </c>
      <c r="E107" s="7">
        <v>45692.0</v>
      </c>
      <c r="F107" s="7">
        <v>45692.0</v>
      </c>
    </row>
    <row r="108">
      <c r="A108" s="4" t="s">
        <v>217</v>
      </c>
      <c r="B108" s="5" t="s">
        <v>218</v>
      </c>
      <c r="C108" s="6"/>
      <c r="D108" s="7">
        <v>45721.0</v>
      </c>
      <c r="E108" s="7">
        <v>45692.0</v>
      </c>
      <c r="F108" s="7">
        <v>45692.0</v>
      </c>
    </row>
    <row r="109">
      <c r="A109" s="4" t="s">
        <v>219</v>
      </c>
      <c r="B109" s="5" t="s">
        <v>220</v>
      </c>
      <c r="C109" s="6"/>
      <c r="D109" s="7">
        <v>45721.0</v>
      </c>
      <c r="E109" s="7">
        <v>45692.0</v>
      </c>
      <c r="F109" s="7">
        <v>45692.0</v>
      </c>
    </row>
    <row r="110">
      <c r="A110" s="4" t="s">
        <v>221</v>
      </c>
      <c r="B110" s="5" t="s">
        <v>222</v>
      </c>
      <c r="C110" s="6"/>
      <c r="D110" s="7">
        <v>45722.0</v>
      </c>
      <c r="E110" s="7">
        <v>45691.0</v>
      </c>
      <c r="F110" s="7">
        <v>45691.0</v>
      </c>
    </row>
    <row r="111">
      <c r="A111" s="4" t="s">
        <v>223</v>
      </c>
      <c r="B111" s="5" t="s">
        <v>224</v>
      </c>
      <c r="C111" s="6"/>
      <c r="D111" s="7">
        <v>45722.0</v>
      </c>
      <c r="E111" s="7">
        <v>45688.0</v>
      </c>
      <c r="F111" s="7">
        <v>45688.0</v>
      </c>
    </row>
    <row r="112">
      <c r="A112" s="4" t="s">
        <v>225</v>
      </c>
      <c r="B112" s="5" t="s">
        <v>226</v>
      </c>
      <c r="C112" s="6"/>
      <c r="D112" s="7">
        <v>45722.0</v>
      </c>
      <c r="E112" s="7">
        <v>45687.0</v>
      </c>
      <c r="F112" s="7">
        <v>45687.0</v>
      </c>
    </row>
    <row r="113">
      <c r="A113" s="4" t="s">
        <v>227</v>
      </c>
      <c r="B113" s="5" t="s">
        <v>228</v>
      </c>
      <c r="C113" s="6"/>
      <c r="D113" s="7">
        <v>45722.0</v>
      </c>
      <c r="E113" s="7">
        <v>45687.0</v>
      </c>
      <c r="F113" s="7">
        <v>45687.0</v>
      </c>
    </row>
    <row r="114">
      <c r="A114" s="4" t="s">
        <v>229</v>
      </c>
      <c r="B114" s="5" t="s">
        <v>230</v>
      </c>
      <c r="C114" s="6"/>
      <c r="D114" s="7">
        <v>45722.0</v>
      </c>
      <c r="E114" s="7">
        <v>45687.0</v>
      </c>
      <c r="F114" s="7">
        <v>45687.0</v>
      </c>
    </row>
    <row r="115">
      <c r="A115" s="4" t="s">
        <v>231</v>
      </c>
      <c r="B115" s="5" t="s">
        <v>232</v>
      </c>
      <c r="C115" s="6"/>
      <c r="D115" s="7">
        <v>45722.0</v>
      </c>
      <c r="E115" s="7">
        <v>45687.0</v>
      </c>
      <c r="F115" s="7">
        <v>45687.0</v>
      </c>
    </row>
    <row r="116">
      <c r="A116" s="4" t="s">
        <v>233</v>
      </c>
      <c r="B116" s="5" t="s">
        <v>234</v>
      </c>
      <c r="C116" s="6"/>
      <c r="D116" s="7">
        <v>45358.0</v>
      </c>
      <c r="E116" s="7">
        <v>45687.0</v>
      </c>
      <c r="F116" s="7">
        <v>45687.0</v>
      </c>
    </row>
    <row r="117">
      <c r="A117" s="4" t="s">
        <v>235</v>
      </c>
      <c r="B117" s="5" t="s">
        <v>236</v>
      </c>
      <c r="C117" s="6"/>
      <c r="D117" s="7">
        <v>45359.0</v>
      </c>
      <c r="E117" s="7">
        <v>45686.0</v>
      </c>
      <c r="F117" s="7">
        <v>45686.0</v>
      </c>
    </row>
    <row r="118">
      <c r="A118" s="4" t="s">
        <v>237</v>
      </c>
      <c r="B118" s="5" t="s">
        <v>238</v>
      </c>
      <c r="C118" s="6"/>
      <c r="D118" s="7">
        <v>45726.0</v>
      </c>
      <c r="E118" s="7">
        <v>45686.0</v>
      </c>
      <c r="F118" s="7">
        <v>45686.0</v>
      </c>
    </row>
    <row r="119">
      <c r="A119" s="4" t="s">
        <v>239</v>
      </c>
      <c r="B119" s="5" t="s">
        <v>240</v>
      </c>
      <c r="C119" s="6"/>
      <c r="D119" s="7">
        <v>45727.0</v>
      </c>
      <c r="E119" s="7">
        <v>45685.0</v>
      </c>
      <c r="F119" s="7">
        <v>45685.0</v>
      </c>
    </row>
    <row r="120">
      <c r="A120" s="4" t="s">
        <v>241</v>
      </c>
      <c r="B120" s="5" t="s">
        <v>242</v>
      </c>
      <c r="C120" s="6"/>
      <c r="D120" s="7">
        <v>45727.0</v>
      </c>
      <c r="E120" s="7">
        <v>45685.0</v>
      </c>
      <c r="F120" s="7">
        <v>45685.0</v>
      </c>
    </row>
    <row r="121">
      <c r="A121" s="4" t="s">
        <v>243</v>
      </c>
      <c r="B121" s="5" t="s">
        <v>244</v>
      </c>
      <c r="C121" s="6"/>
      <c r="D121" s="7">
        <v>45727.0</v>
      </c>
      <c r="E121" s="7">
        <v>45685.0</v>
      </c>
      <c r="F121" s="7">
        <v>45685.0</v>
      </c>
    </row>
    <row r="122">
      <c r="A122" s="4" t="s">
        <v>245</v>
      </c>
      <c r="B122" s="5" t="s">
        <v>246</v>
      </c>
      <c r="C122" s="6"/>
      <c r="D122" s="7">
        <v>45727.0</v>
      </c>
      <c r="E122" s="7">
        <v>45685.0</v>
      </c>
      <c r="F122" s="7">
        <v>45685.0</v>
      </c>
    </row>
    <row r="123">
      <c r="A123" s="4" t="s">
        <v>247</v>
      </c>
      <c r="B123" s="5" t="s">
        <v>248</v>
      </c>
      <c r="C123" s="6"/>
      <c r="D123" s="7">
        <v>45727.0</v>
      </c>
      <c r="E123" s="7">
        <v>45685.0</v>
      </c>
      <c r="F123" s="7">
        <v>45685.0</v>
      </c>
    </row>
    <row r="124">
      <c r="A124" s="4" t="s">
        <v>249</v>
      </c>
      <c r="B124" s="5" t="s">
        <v>250</v>
      </c>
      <c r="C124" s="6"/>
      <c r="D124" s="7">
        <v>45728.0</v>
      </c>
      <c r="E124" s="7">
        <v>45685.0</v>
      </c>
      <c r="F124" s="7">
        <v>45685.0</v>
      </c>
    </row>
    <row r="125">
      <c r="A125" s="4" t="s">
        <v>251</v>
      </c>
      <c r="B125" s="5" t="s">
        <v>252</v>
      </c>
      <c r="C125" s="6"/>
      <c r="D125" s="7">
        <v>45728.0</v>
      </c>
      <c r="E125" s="7">
        <v>45685.0</v>
      </c>
      <c r="F125" s="7">
        <v>45685.0</v>
      </c>
    </row>
    <row r="126">
      <c r="A126" s="4" t="s">
        <v>253</v>
      </c>
      <c r="B126" s="5" t="s">
        <v>254</v>
      </c>
      <c r="C126" s="6"/>
      <c r="D126" s="7">
        <v>45728.0</v>
      </c>
      <c r="E126" s="7">
        <v>45685.0</v>
      </c>
      <c r="F126" s="7">
        <v>45685.0</v>
      </c>
    </row>
    <row r="127">
      <c r="A127" s="4" t="s">
        <v>255</v>
      </c>
      <c r="B127" s="5" t="s">
        <v>256</v>
      </c>
      <c r="C127" s="6"/>
      <c r="D127" s="7">
        <v>45728.0</v>
      </c>
      <c r="E127" s="7">
        <v>45684.0</v>
      </c>
      <c r="F127" s="7">
        <v>45684.0</v>
      </c>
    </row>
    <row r="128">
      <c r="A128" s="4" t="s">
        <v>257</v>
      </c>
      <c r="B128" s="5" t="s">
        <v>258</v>
      </c>
      <c r="C128" s="6"/>
      <c r="D128" s="7">
        <v>45728.0</v>
      </c>
      <c r="E128" s="7">
        <v>45684.0</v>
      </c>
      <c r="F128" s="7">
        <v>45684.0</v>
      </c>
    </row>
    <row r="129">
      <c r="A129" s="4" t="s">
        <v>259</v>
      </c>
      <c r="B129" s="5" t="s">
        <v>260</v>
      </c>
      <c r="C129" s="6"/>
      <c r="D129" s="7">
        <v>45729.0</v>
      </c>
      <c r="E129" s="7">
        <v>45681.0</v>
      </c>
      <c r="F129" s="7">
        <v>45681.0</v>
      </c>
    </row>
    <row r="130">
      <c r="A130" s="4" t="s">
        <v>261</v>
      </c>
      <c r="B130" s="5" t="s">
        <v>262</v>
      </c>
      <c r="C130" s="6"/>
      <c r="D130" s="7">
        <v>45729.0</v>
      </c>
      <c r="E130" s="7">
        <v>45681.0</v>
      </c>
      <c r="F130" s="7">
        <v>45681.0</v>
      </c>
    </row>
    <row r="131">
      <c r="A131" s="4" t="s">
        <v>263</v>
      </c>
      <c r="B131" s="5" t="s">
        <v>264</v>
      </c>
      <c r="C131" s="6"/>
      <c r="D131" s="7">
        <v>45729.0</v>
      </c>
      <c r="E131" s="7">
        <v>45681.0</v>
      </c>
      <c r="F131" s="7">
        <v>45681.0</v>
      </c>
    </row>
    <row r="132">
      <c r="A132" s="4" t="s">
        <v>265</v>
      </c>
      <c r="B132" s="5" t="s">
        <v>266</v>
      </c>
      <c r="C132" s="6"/>
      <c r="D132" s="7">
        <v>45729.0</v>
      </c>
      <c r="E132" s="7">
        <v>45681.0</v>
      </c>
      <c r="F132" s="7">
        <v>45681.0</v>
      </c>
    </row>
    <row r="133">
      <c r="A133" s="4" t="s">
        <v>267</v>
      </c>
      <c r="B133" s="5" t="s">
        <v>268</v>
      </c>
      <c r="C133" s="6"/>
      <c r="D133" s="7">
        <v>45729.0</v>
      </c>
      <c r="E133" s="7">
        <v>45680.0</v>
      </c>
      <c r="F133" s="7">
        <v>45680.0</v>
      </c>
    </row>
    <row r="134">
      <c r="A134" s="4" t="s">
        <v>269</v>
      </c>
      <c r="B134" s="5" t="s">
        <v>270</v>
      </c>
      <c r="C134" s="6"/>
      <c r="D134" s="7">
        <v>45730.0</v>
      </c>
      <c r="E134" s="7">
        <v>45680.0</v>
      </c>
      <c r="F134" s="7">
        <v>45680.0</v>
      </c>
    </row>
    <row r="135">
      <c r="A135" s="4" t="s">
        <v>271</v>
      </c>
      <c r="B135" s="5" t="s">
        <v>272</v>
      </c>
      <c r="C135" s="6"/>
      <c r="D135" s="7">
        <v>45730.0</v>
      </c>
      <c r="E135" s="7">
        <v>45680.0</v>
      </c>
      <c r="F135" s="7">
        <v>45680.0</v>
      </c>
    </row>
    <row r="136">
      <c r="A136" s="4" t="s">
        <v>273</v>
      </c>
      <c r="B136" s="5" t="s">
        <v>274</v>
      </c>
      <c r="C136" s="6"/>
      <c r="D136" s="7">
        <v>45730.0</v>
      </c>
      <c r="E136" s="7">
        <v>45680.0</v>
      </c>
      <c r="F136" s="7">
        <v>45680.0</v>
      </c>
    </row>
    <row r="137">
      <c r="A137" s="4" t="s">
        <v>275</v>
      </c>
      <c r="B137" s="5" t="s">
        <v>276</v>
      </c>
      <c r="C137" s="6"/>
      <c r="D137" s="7">
        <v>45733.0</v>
      </c>
      <c r="E137" s="7">
        <v>45680.0</v>
      </c>
      <c r="F137" s="7">
        <v>45680.0</v>
      </c>
    </row>
    <row r="138">
      <c r="A138" s="4" t="s">
        <v>277</v>
      </c>
      <c r="B138" s="5" t="s">
        <v>278</v>
      </c>
      <c r="C138" s="6"/>
      <c r="D138" s="7">
        <v>45734.0</v>
      </c>
      <c r="E138" s="7">
        <v>45680.0</v>
      </c>
      <c r="F138" s="7">
        <v>45680.0</v>
      </c>
    </row>
    <row r="139">
      <c r="A139" s="4" t="s">
        <v>279</v>
      </c>
      <c r="B139" s="5" t="s">
        <v>280</v>
      </c>
      <c r="C139" s="6"/>
      <c r="D139" s="7">
        <v>45734.0</v>
      </c>
      <c r="E139" s="7">
        <v>45679.0</v>
      </c>
      <c r="F139" s="7">
        <v>45679.0</v>
      </c>
    </row>
    <row r="140">
      <c r="A140" s="4" t="s">
        <v>281</v>
      </c>
      <c r="B140" s="5" t="s">
        <v>282</v>
      </c>
      <c r="C140" s="6"/>
      <c r="D140" s="7">
        <v>45736.0</v>
      </c>
      <c r="E140" s="7">
        <v>45679.0</v>
      </c>
      <c r="F140" s="7">
        <v>45679.0</v>
      </c>
    </row>
    <row r="141">
      <c r="A141" s="4" t="s">
        <v>283</v>
      </c>
      <c r="B141" s="5" t="s">
        <v>284</v>
      </c>
      <c r="C141" s="6"/>
      <c r="D141" s="7">
        <v>45736.0</v>
      </c>
      <c r="E141" s="7">
        <v>45678.0</v>
      </c>
      <c r="F141" s="7">
        <v>45678.0</v>
      </c>
    </row>
    <row r="142">
      <c r="A142" s="4" t="s">
        <v>285</v>
      </c>
      <c r="B142" s="5" t="s">
        <v>286</v>
      </c>
      <c r="C142" s="6"/>
      <c r="D142" s="7">
        <v>45736.0</v>
      </c>
      <c r="E142" s="7">
        <v>45678.0</v>
      </c>
      <c r="F142" s="7">
        <v>45678.0</v>
      </c>
    </row>
    <row r="143">
      <c r="A143" s="4" t="s">
        <v>287</v>
      </c>
      <c r="B143" s="5" t="s">
        <v>288</v>
      </c>
      <c r="C143" s="6"/>
      <c r="D143" s="7">
        <v>45741.0</v>
      </c>
      <c r="E143" s="7">
        <v>45677.0</v>
      </c>
      <c r="F143" s="7">
        <v>45677.0</v>
      </c>
    </row>
    <row r="144">
      <c r="A144" s="4" t="s">
        <v>289</v>
      </c>
      <c r="B144" s="5" t="s">
        <v>290</v>
      </c>
      <c r="C144" s="6"/>
      <c r="D144" s="7">
        <v>45377.0</v>
      </c>
      <c r="E144" s="7">
        <v>45673.0</v>
      </c>
      <c r="F144" s="7">
        <v>45673.0</v>
      </c>
    </row>
    <row r="145">
      <c r="A145" s="4" t="s">
        <v>291</v>
      </c>
      <c r="B145" s="5" t="s">
        <v>292</v>
      </c>
      <c r="C145" s="6"/>
      <c r="D145" s="7">
        <v>45742.0</v>
      </c>
      <c r="E145" s="7">
        <v>45673.0</v>
      </c>
      <c r="F145" s="7">
        <v>45673.0</v>
      </c>
    </row>
    <row r="146">
      <c r="A146" s="4" t="s">
        <v>293</v>
      </c>
      <c r="B146" s="5" t="s">
        <v>294</v>
      </c>
      <c r="C146" s="6"/>
      <c r="D146" s="7">
        <v>45742.0</v>
      </c>
      <c r="E146" s="7">
        <v>45672.0</v>
      </c>
      <c r="F146" s="7">
        <v>45672.0</v>
      </c>
    </row>
    <row r="147">
      <c r="A147" s="4" t="s">
        <v>295</v>
      </c>
      <c r="B147" s="5" t="s">
        <v>296</v>
      </c>
      <c r="C147" s="6"/>
      <c r="D147" s="7">
        <v>45743.0</v>
      </c>
      <c r="E147" s="7">
        <v>45671.0</v>
      </c>
      <c r="F147" s="7">
        <v>45671.0</v>
      </c>
    </row>
    <row r="148">
      <c r="A148" s="4" t="s">
        <v>297</v>
      </c>
      <c r="B148" s="5" t="s">
        <v>298</v>
      </c>
      <c r="C148" s="6"/>
      <c r="D148" s="7">
        <v>45743.0</v>
      </c>
      <c r="E148" s="7">
        <v>45667.0</v>
      </c>
      <c r="F148" s="7">
        <v>45667.0</v>
      </c>
    </row>
    <row r="149">
      <c r="A149" s="4" t="s">
        <v>299</v>
      </c>
      <c r="B149" s="5" t="s">
        <v>300</v>
      </c>
      <c r="C149" s="6"/>
      <c r="D149" s="7">
        <v>45743.0</v>
      </c>
      <c r="E149" s="7">
        <v>45666.0</v>
      </c>
      <c r="F149" s="7">
        <v>45666.0</v>
      </c>
    </row>
    <row r="150">
      <c r="A150" s="4" t="s">
        <v>301</v>
      </c>
      <c r="B150" s="5" t="s">
        <v>302</v>
      </c>
      <c r="C150" s="6"/>
      <c r="D150" s="7">
        <v>45743.0</v>
      </c>
      <c r="E150" s="7">
        <v>45665.0</v>
      </c>
      <c r="F150" s="7">
        <v>45665.0</v>
      </c>
    </row>
    <row r="151">
      <c r="A151" s="4" t="s">
        <v>303</v>
      </c>
      <c r="B151" s="5" t="s">
        <v>304</v>
      </c>
      <c r="C151" s="6"/>
      <c r="D151" s="7">
        <v>45379.0</v>
      </c>
      <c r="E151" s="8">
        <v>45657.0</v>
      </c>
      <c r="F151" s="8">
        <v>45657.0</v>
      </c>
    </row>
    <row r="152">
      <c r="A152" s="4" t="s">
        <v>305</v>
      </c>
      <c r="B152" s="5" t="s">
        <v>306</v>
      </c>
      <c r="C152" s="6"/>
      <c r="D152" s="7">
        <v>45379.0</v>
      </c>
      <c r="E152" s="8">
        <v>45657.0</v>
      </c>
      <c r="F152" s="8">
        <v>45657.0</v>
      </c>
    </row>
    <row r="153">
      <c r="A153" s="4" t="s">
        <v>307</v>
      </c>
      <c r="B153" s="5" t="s">
        <v>308</v>
      </c>
      <c r="C153" s="6"/>
      <c r="D153" s="7">
        <v>45749.0</v>
      </c>
      <c r="E153" s="8">
        <v>45656.0</v>
      </c>
      <c r="F153" s="8">
        <v>45656.0</v>
      </c>
    </row>
    <row r="154">
      <c r="A154" s="4" t="s">
        <v>309</v>
      </c>
      <c r="B154" s="5" t="s">
        <v>310</v>
      </c>
      <c r="C154" s="6"/>
      <c r="D154" s="7">
        <v>45749.0</v>
      </c>
      <c r="E154" s="7">
        <v>45797.0</v>
      </c>
      <c r="F154" s="7">
        <v>45797.0</v>
      </c>
    </row>
    <row r="155">
      <c r="A155" s="4" t="s">
        <v>311</v>
      </c>
      <c r="B155" s="5" t="s">
        <v>312</v>
      </c>
      <c r="C155" s="6"/>
      <c r="D155" s="7">
        <v>45749.0</v>
      </c>
      <c r="E155" s="8">
        <v>45649.0</v>
      </c>
      <c r="F155" s="8">
        <v>45649.0</v>
      </c>
    </row>
    <row r="156">
      <c r="A156" s="4" t="s">
        <v>313</v>
      </c>
      <c r="B156" s="5" t="s">
        <v>314</v>
      </c>
      <c r="C156" s="6"/>
      <c r="D156" s="7">
        <v>45749.0</v>
      </c>
      <c r="E156" s="8">
        <v>45646.0</v>
      </c>
      <c r="F156" s="8">
        <v>45646.0</v>
      </c>
    </row>
    <row r="157">
      <c r="A157" s="4" t="s">
        <v>315</v>
      </c>
      <c r="B157" s="5" t="s">
        <v>316</v>
      </c>
      <c r="C157" s="6"/>
      <c r="D157" s="7">
        <v>45750.0</v>
      </c>
      <c r="E157" s="8">
        <v>45645.0</v>
      </c>
      <c r="F157" s="8">
        <v>45645.0</v>
      </c>
    </row>
    <row r="158">
      <c r="A158" s="4" t="s">
        <v>317</v>
      </c>
      <c r="B158" s="5" t="s">
        <v>318</v>
      </c>
      <c r="C158" s="6"/>
      <c r="D158" s="7">
        <v>45387.0</v>
      </c>
      <c r="E158" s="7">
        <v>45834.0</v>
      </c>
      <c r="F158" s="7">
        <v>45834.0</v>
      </c>
    </row>
    <row r="159">
      <c r="A159" s="4" t="s">
        <v>319</v>
      </c>
      <c r="B159" s="5" t="s">
        <v>320</v>
      </c>
      <c r="C159" s="6"/>
      <c r="D159" s="7">
        <v>45387.0</v>
      </c>
      <c r="E159" s="8">
        <v>45644.0</v>
      </c>
      <c r="F159" s="8">
        <v>45644.0</v>
      </c>
    </row>
    <row r="160">
      <c r="A160" s="4" t="s">
        <v>321</v>
      </c>
      <c r="B160" s="5" t="s">
        <v>322</v>
      </c>
      <c r="C160" s="6"/>
      <c r="D160" s="7">
        <v>45390.0</v>
      </c>
      <c r="E160" s="8">
        <v>45643.0</v>
      </c>
      <c r="F160" s="8">
        <v>45643.0</v>
      </c>
    </row>
    <row r="161">
      <c r="A161" s="4" t="s">
        <v>323</v>
      </c>
      <c r="B161" s="5" t="s">
        <v>324</v>
      </c>
      <c r="C161" s="6"/>
      <c r="D161" s="7">
        <v>45390.0</v>
      </c>
      <c r="E161" s="8">
        <v>45643.0</v>
      </c>
      <c r="F161" s="8">
        <v>45643.0</v>
      </c>
    </row>
    <row r="162">
      <c r="A162" s="4" t="s">
        <v>325</v>
      </c>
      <c r="B162" s="5" t="s">
        <v>326</v>
      </c>
      <c r="C162" s="6"/>
      <c r="D162" s="7">
        <v>45391.0</v>
      </c>
      <c r="E162" s="8">
        <v>45643.0</v>
      </c>
      <c r="F162" s="8">
        <v>45643.0</v>
      </c>
    </row>
    <row r="163">
      <c r="A163" s="4" t="s">
        <v>327</v>
      </c>
      <c r="B163" s="5" t="s">
        <v>328</v>
      </c>
      <c r="C163" s="6"/>
      <c r="D163" s="7">
        <v>45391.0</v>
      </c>
      <c r="E163" s="8">
        <v>45643.0</v>
      </c>
      <c r="F163" s="8">
        <v>45643.0</v>
      </c>
    </row>
    <row r="164">
      <c r="A164" s="4" t="s">
        <v>329</v>
      </c>
      <c r="B164" s="5" t="s">
        <v>330</v>
      </c>
      <c r="C164" s="6"/>
      <c r="D164" s="7">
        <v>45391.0</v>
      </c>
      <c r="E164" s="8">
        <v>45639.0</v>
      </c>
      <c r="F164" s="8">
        <v>45639.0</v>
      </c>
    </row>
    <row r="165">
      <c r="A165" s="4" t="s">
        <v>331</v>
      </c>
      <c r="B165" s="5" t="s">
        <v>332</v>
      </c>
      <c r="C165" s="6"/>
      <c r="D165" s="7">
        <v>45392.0</v>
      </c>
      <c r="E165" s="8">
        <v>45638.0</v>
      </c>
      <c r="F165" s="8">
        <v>45638.0</v>
      </c>
    </row>
    <row r="166">
      <c r="A166" s="4" t="s">
        <v>333</v>
      </c>
      <c r="B166" s="5" t="s">
        <v>334</v>
      </c>
      <c r="C166" s="6"/>
      <c r="D166" s="7">
        <v>45392.0</v>
      </c>
      <c r="E166" s="8">
        <v>45638.0</v>
      </c>
      <c r="F166" s="8">
        <v>45638.0</v>
      </c>
    </row>
    <row r="167">
      <c r="A167" s="4" t="s">
        <v>335</v>
      </c>
      <c r="B167" s="5" t="s">
        <v>336</v>
      </c>
      <c r="C167" s="6"/>
      <c r="D167" s="7">
        <v>45757.0</v>
      </c>
      <c r="E167" s="8">
        <v>45638.0</v>
      </c>
      <c r="F167" s="8">
        <v>45638.0</v>
      </c>
    </row>
    <row r="168">
      <c r="A168" s="4" t="s">
        <v>337</v>
      </c>
      <c r="B168" s="5" t="s">
        <v>338</v>
      </c>
      <c r="C168" s="6"/>
      <c r="D168" s="7">
        <v>45393.0</v>
      </c>
      <c r="E168" s="7">
        <v>45812.0</v>
      </c>
      <c r="F168" s="7">
        <v>45812.0</v>
      </c>
    </row>
    <row r="169">
      <c r="A169" s="4" t="s">
        <v>339</v>
      </c>
      <c r="B169" s="5" t="s">
        <v>340</v>
      </c>
      <c r="C169" s="6"/>
      <c r="D169" s="7">
        <v>45393.0</v>
      </c>
      <c r="E169" s="8">
        <v>45638.0</v>
      </c>
      <c r="F169" s="8">
        <v>45638.0</v>
      </c>
    </row>
    <row r="170">
      <c r="A170" s="4" t="s">
        <v>341</v>
      </c>
      <c r="B170" s="5" t="s">
        <v>342</v>
      </c>
      <c r="C170" s="6"/>
      <c r="D170" s="7">
        <v>45393.0</v>
      </c>
      <c r="E170" s="8">
        <v>45638.0</v>
      </c>
      <c r="F170" s="8">
        <v>45638.0</v>
      </c>
    </row>
    <row r="171">
      <c r="A171" s="4" t="s">
        <v>343</v>
      </c>
      <c r="B171" s="5" t="s">
        <v>344</v>
      </c>
      <c r="C171" s="6"/>
      <c r="D171" s="7">
        <v>45761.0</v>
      </c>
      <c r="E171" s="8">
        <v>45638.0</v>
      </c>
      <c r="F171" s="8">
        <v>45638.0</v>
      </c>
    </row>
    <row r="172">
      <c r="A172" s="4" t="s">
        <v>345</v>
      </c>
      <c r="B172" s="5" t="s">
        <v>346</v>
      </c>
      <c r="C172" s="6"/>
      <c r="D172" s="7">
        <v>45398.0</v>
      </c>
      <c r="E172" s="8">
        <v>45638.0</v>
      </c>
      <c r="F172" s="8">
        <v>45638.0</v>
      </c>
    </row>
    <row r="173">
      <c r="A173" s="4" t="s">
        <v>347</v>
      </c>
      <c r="B173" s="5" t="s">
        <v>348</v>
      </c>
      <c r="C173" s="6"/>
      <c r="D173" s="7">
        <v>45398.0</v>
      </c>
      <c r="E173" s="8">
        <v>45637.0</v>
      </c>
      <c r="F173" s="8">
        <v>45637.0</v>
      </c>
    </row>
    <row r="174">
      <c r="A174" s="4" t="s">
        <v>349</v>
      </c>
      <c r="B174" s="5" t="s">
        <v>350</v>
      </c>
      <c r="C174" s="6"/>
      <c r="D174" s="7">
        <v>45398.0</v>
      </c>
      <c r="E174" s="8">
        <v>45637.0</v>
      </c>
      <c r="F174" s="8">
        <v>45637.0</v>
      </c>
    </row>
    <row r="175">
      <c r="A175" s="4" t="s">
        <v>351</v>
      </c>
      <c r="B175" s="5" t="s">
        <v>352</v>
      </c>
      <c r="C175" s="6"/>
      <c r="D175" s="7">
        <v>45398.0</v>
      </c>
      <c r="E175" s="8">
        <v>45637.0</v>
      </c>
      <c r="F175" s="8">
        <v>45637.0</v>
      </c>
    </row>
    <row r="176">
      <c r="A176" s="4" t="s">
        <v>353</v>
      </c>
      <c r="B176" s="5" t="s">
        <v>354</v>
      </c>
      <c r="C176" s="6"/>
      <c r="D176" s="7">
        <v>45398.0</v>
      </c>
      <c r="E176" s="8">
        <v>45636.0</v>
      </c>
      <c r="F176" s="8">
        <v>45636.0</v>
      </c>
    </row>
    <row r="177">
      <c r="A177" s="4" t="s">
        <v>355</v>
      </c>
      <c r="B177" s="5" t="s">
        <v>356</v>
      </c>
      <c r="C177" s="6"/>
      <c r="D177" s="7">
        <v>45398.0</v>
      </c>
      <c r="E177" s="8">
        <v>45636.0</v>
      </c>
      <c r="F177" s="8">
        <v>45636.0</v>
      </c>
    </row>
    <row r="178">
      <c r="A178" s="4" t="s">
        <v>357</v>
      </c>
      <c r="B178" s="5" t="s">
        <v>358</v>
      </c>
      <c r="C178" s="6"/>
      <c r="D178" s="7">
        <v>45398.0</v>
      </c>
      <c r="E178" s="8">
        <v>45636.0</v>
      </c>
      <c r="F178" s="8">
        <v>45636.0</v>
      </c>
    </row>
    <row r="179">
      <c r="A179" s="4" t="s">
        <v>359</v>
      </c>
      <c r="B179" s="5" t="s">
        <v>360</v>
      </c>
      <c r="C179" s="6"/>
      <c r="D179" s="7">
        <v>45398.0</v>
      </c>
      <c r="E179" s="8">
        <v>45636.0</v>
      </c>
      <c r="F179" s="8">
        <v>45636.0</v>
      </c>
    </row>
    <row r="180">
      <c r="A180" s="4" t="s">
        <v>361</v>
      </c>
      <c r="B180" s="5" t="s">
        <v>362</v>
      </c>
      <c r="C180" s="6"/>
      <c r="D180" s="7">
        <v>45398.0</v>
      </c>
      <c r="E180" s="7">
        <v>45635.0</v>
      </c>
      <c r="F180" s="7">
        <v>45635.0</v>
      </c>
    </row>
    <row r="181">
      <c r="A181" s="4" t="s">
        <v>363</v>
      </c>
      <c r="B181" s="5" t="s">
        <v>364</v>
      </c>
      <c r="C181" s="6"/>
      <c r="D181" s="7">
        <v>45398.0</v>
      </c>
      <c r="E181" s="7">
        <v>45635.0</v>
      </c>
      <c r="F181" s="7">
        <v>45635.0</v>
      </c>
    </row>
    <row r="182">
      <c r="A182" s="4" t="s">
        <v>365</v>
      </c>
      <c r="B182" s="5" t="s">
        <v>366</v>
      </c>
      <c r="C182" s="6"/>
      <c r="D182" s="7">
        <v>45398.0</v>
      </c>
      <c r="E182" s="7">
        <v>45812.0</v>
      </c>
      <c r="F182" s="7">
        <v>45812.0</v>
      </c>
    </row>
    <row r="183">
      <c r="A183" s="4" t="s">
        <v>367</v>
      </c>
      <c r="B183" s="5" t="s">
        <v>368</v>
      </c>
      <c r="C183" s="6"/>
      <c r="D183" s="7">
        <v>45398.0</v>
      </c>
      <c r="E183" s="7">
        <v>45632.0</v>
      </c>
      <c r="F183" s="7">
        <v>45632.0</v>
      </c>
    </row>
    <row r="184">
      <c r="A184" s="4" t="s">
        <v>369</v>
      </c>
      <c r="B184" s="5" t="s">
        <v>370</v>
      </c>
      <c r="C184" s="6"/>
      <c r="D184" s="7">
        <v>45398.0</v>
      </c>
      <c r="E184" s="7">
        <v>45632.0</v>
      </c>
      <c r="F184" s="7">
        <v>45632.0</v>
      </c>
    </row>
    <row r="185">
      <c r="A185" s="4" t="s">
        <v>371</v>
      </c>
      <c r="B185" s="5" t="s">
        <v>372</v>
      </c>
      <c r="C185" s="6"/>
      <c r="D185" s="7">
        <v>45398.0</v>
      </c>
      <c r="E185" s="7">
        <v>45632.0</v>
      </c>
      <c r="F185" s="7">
        <v>45632.0</v>
      </c>
    </row>
    <row r="186">
      <c r="A186" s="4" t="s">
        <v>373</v>
      </c>
      <c r="B186" s="5" t="s">
        <v>374</v>
      </c>
      <c r="C186" s="6"/>
      <c r="D186" s="7">
        <v>45398.0</v>
      </c>
      <c r="E186" s="7">
        <v>45828.0</v>
      </c>
      <c r="F186" s="7">
        <v>45828.0</v>
      </c>
    </row>
    <row r="187">
      <c r="A187" s="4" t="s">
        <v>375</v>
      </c>
      <c r="B187" s="5" t="s">
        <v>376</v>
      </c>
      <c r="C187" s="6"/>
      <c r="D187" s="7">
        <v>45398.0</v>
      </c>
      <c r="E187" s="7">
        <v>45631.0</v>
      </c>
      <c r="F187" s="7">
        <v>45631.0</v>
      </c>
    </row>
    <row r="188">
      <c r="A188" s="4" t="s">
        <v>377</v>
      </c>
      <c r="B188" s="5" t="s">
        <v>378</v>
      </c>
      <c r="C188" s="6"/>
      <c r="D188" s="7">
        <v>45398.0</v>
      </c>
      <c r="E188" s="7">
        <v>45631.0</v>
      </c>
      <c r="F188" s="7">
        <v>45631.0</v>
      </c>
    </row>
    <row r="189">
      <c r="A189" s="4" t="s">
        <v>379</v>
      </c>
      <c r="B189" s="5" t="s">
        <v>380</v>
      </c>
      <c r="C189" s="6"/>
      <c r="D189" s="7">
        <v>45398.0</v>
      </c>
      <c r="E189" s="7">
        <v>45631.0</v>
      </c>
      <c r="F189" s="7">
        <v>45631.0</v>
      </c>
    </row>
    <row r="190">
      <c r="A190" s="4" t="s">
        <v>381</v>
      </c>
      <c r="B190" s="5" t="s">
        <v>382</v>
      </c>
      <c r="C190" s="6"/>
      <c r="D190" s="7">
        <v>45399.0</v>
      </c>
      <c r="E190" s="7">
        <v>45631.0</v>
      </c>
      <c r="F190" s="7">
        <v>45631.0</v>
      </c>
    </row>
    <row r="191">
      <c r="A191" s="4" t="s">
        <v>383</v>
      </c>
      <c r="B191" s="5" t="s">
        <v>384</v>
      </c>
      <c r="C191" s="6"/>
      <c r="D191" s="7">
        <v>45399.0</v>
      </c>
      <c r="E191" s="7">
        <v>45631.0</v>
      </c>
      <c r="F191" s="7">
        <v>45631.0</v>
      </c>
    </row>
    <row r="192">
      <c r="A192" s="4" t="s">
        <v>385</v>
      </c>
      <c r="B192" s="5" t="s">
        <v>386</v>
      </c>
      <c r="C192" s="6"/>
      <c r="D192" s="7">
        <v>45399.0</v>
      </c>
      <c r="E192" s="7">
        <v>45631.0</v>
      </c>
      <c r="F192" s="7">
        <v>45631.0</v>
      </c>
    </row>
    <row r="193">
      <c r="A193" s="4" t="s">
        <v>387</v>
      </c>
      <c r="B193" s="5" t="s">
        <v>388</v>
      </c>
      <c r="C193" s="6"/>
      <c r="D193" s="7">
        <v>45399.0</v>
      </c>
      <c r="E193" s="7">
        <v>45630.0</v>
      </c>
      <c r="F193" s="7">
        <v>45630.0</v>
      </c>
    </row>
    <row r="194">
      <c r="A194" s="4" t="s">
        <v>389</v>
      </c>
      <c r="B194" s="5" t="s">
        <v>390</v>
      </c>
      <c r="C194" s="6"/>
      <c r="D194" s="7">
        <v>45399.0</v>
      </c>
      <c r="E194" s="7">
        <v>45629.0</v>
      </c>
      <c r="F194" s="7">
        <v>45629.0</v>
      </c>
    </row>
    <row r="195">
      <c r="A195" s="4" t="s">
        <v>391</v>
      </c>
      <c r="B195" s="5" t="s">
        <v>392</v>
      </c>
      <c r="C195" s="6"/>
      <c r="D195" s="7">
        <v>45399.0</v>
      </c>
      <c r="E195" s="7">
        <v>45629.0</v>
      </c>
      <c r="F195" s="7">
        <v>45629.0</v>
      </c>
    </row>
    <row r="196">
      <c r="A196" s="4" t="s">
        <v>393</v>
      </c>
      <c r="B196" s="5" t="s">
        <v>394</v>
      </c>
      <c r="C196" s="6"/>
      <c r="D196" s="7">
        <v>45399.0</v>
      </c>
      <c r="E196" s="8">
        <v>45618.0</v>
      </c>
      <c r="F196" s="8">
        <v>45618.0</v>
      </c>
    </row>
    <row r="197">
      <c r="A197" s="4" t="s">
        <v>395</v>
      </c>
      <c r="B197" s="5" t="s">
        <v>396</v>
      </c>
      <c r="C197" s="6"/>
      <c r="D197" s="7">
        <v>45399.0</v>
      </c>
      <c r="E197" s="8">
        <v>45618.0</v>
      </c>
      <c r="F197" s="8">
        <v>45618.0</v>
      </c>
    </row>
    <row r="198">
      <c r="A198" s="4" t="s">
        <v>397</v>
      </c>
      <c r="B198" s="5" t="s">
        <v>398</v>
      </c>
      <c r="C198" s="6"/>
      <c r="D198" s="7">
        <v>45399.0</v>
      </c>
      <c r="E198" s="8">
        <v>45617.0</v>
      </c>
      <c r="F198" s="8">
        <v>45617.0</v>
      </c>
    </row>
    <row r="199">
      <c r="A199" s="4" t="s">
        <v>399</v>
      </c>
      <c r="B199" s="5" t="s">
        <v>400</v>
      </c>
      <c r="C199" s="6"/>
      <c r="D199" s="7">
        <v>45399.0</v>
      </c>
      <c r="E199" s="7">
        <v>45832.0</v>
      </c>
      <c r="F199" s="7">
        <v>45832.0</v>
      </c>
    </row>
    <row r="200">
      <c r="A200" s="4" t="s">
        <v>401</v>
      </c>
      <c r="B200" s="5" t="s">
        <v>402</v>
      </c>
      <c r="C200" s="6"/>
      <c r="D200" s="7">
        <v>45400.0</v>
      </c>
      <c r="E200" s="8">
        <v>45617.0</v>
      </c>
      <c r="F200" s="8">
        <v>45617.0</v>
      </c>
    </row>
    <row r="201">
      <c r="A201" s="4" t="s">
        <v>403</v>
      </c>
      <c r="B201" s="5" t="s">
        <v>404</v>
      </c>
      <c r="C201" s="6"/>
      <c r="D201" s="7">
        <v>45400.0</v>
      </c>
      <c r="E201" s="8">
        <v>45617.0</v>
      </c>
      <c r="F201" s="8">
        <v>45617.0</v>
      </c>
    </row>
    <row r="202">
      <c r="A202" s="4" t="s">
        <v>405</v>
      </c>
      <c r="B202" s="5" t="s">
        <v>406</v>
      </c>
      <c r="C202" s="6"/>
      <c r="D202" s="7">
        <v>45400.0</v>
      </c>
      <c r="E202" s="8">
        <v>45616.0</v>
      </c>
      <c r="F202" s="8">
        <v>45616.0</v>
      </c>
    </row>
    <row r="203">
      <c r="A203" s="4" t="s">
        <v>407</v>
      </c>
      <c r="B203" s="5" t="s">
        <v>408</v>
      </c>
      <c r="C203" s="6"/>
      <c r="D203" s="7">
        <v>45400.0</v>
      </c>
      <c r="E203" s="8">
        <v>45616.0</v>
      </c>
      <c r="F203" s="8">
        <v>45616.0</v>
      </c>
    </row>
    <row r="204">
      <c r="A204" s="4" t="s">
        <v>409</v>
      </c>
      <c r="B204" s="5" t="s">
        <v>410</v>
      </c>
      <c r="C204" s="6"/>
      <c r="D204" s="7">
        <v>45400.0</v>
      </c>
      <c r="E204" s="8">
        <v>45616.0</v>
      </c>
      <c r="F204" s="8">
        <v>45616.0</v>
      </c>
    </row>
    <row r="205">
      <c r="A205" s="4" t="s">
        <v>411</v>
      </c>
      <c r="B205" s="5" t="s">
        <v>412</v>
      </c>
      <c r="C205" s="6"/>
      <c r="D205" s="7">
        <v>45400.0</v>
      </c>
      <c r="E205" s="8">
        <v>45616.0</v>
      </c>
      <c r="F205" s="8">
        <v>45616.0</v>
      </c>
    </row>
    <row r="206">
      <c r="A206" s="4" t="s">
        <v>413</v>
      </c>
      <c r="B206" s="5" t="s">
        <v>414</v>
      </c>
      <c r="C206" s="6"/>
      <c r="D206" s="7">
        <v>45400.0</v>
      </c>
      <c r="E206" s="8">
        <v>45616.0</v>
      </c>
      <c r="F206" s="8">
        <v>45616.0</v>
      </c>
    </row>
    <row r="207">
      <c r="A207" s="4" t="s">
        <v>415</v>
      </c>
      <c r="B207" s="5" t="s">
        <v>416</v>
      </c>
      <c r="C207" s="6"/>
      <c r="D207" s="7">
        <v>45400.0</v>
      </c>
      <c r="E207" s="8">
        <v>45616.0</v>
      </c>
      <c r="F207" s="8">
        <v>45616.0</v>
      </c>
    </row>
    <row r="208">
      <c r="A208" s="4" t="s">
        <v>417</v>
      </c>
      <c r="B208" s="5" t="s">
        <v>418</v>
      </c>
      <c r="C208" s="6"/>
      <c r="D208" s="7">
        <v>45400.0</v>
      </c>
      <c r="E208" s="8">
        <v>45616.0</v>
      </c>
      <c r="F208" s="8">
        <v>45616.0</v>
      </c>
    </row>
    <row r="209">
      <c r="A209" s="4" t="s">
        <v>419</v>
      </c>
      <c r="B209" s="5" t="s">
        <v>420</v>
      </c>
      <c r="C209" s="6"/>
      <c r="D209" s="7">
        <v>45400.0</v>
      </c>
      <c r="E209" s="8">
        <v>45616.0</v>
      </c>
      <c r="F209" s="8">
        <v>45616.0</v>
      </c>
    </row>
    <row r="210">
      <c r="A210" s="4" t="s">
        <v>421</v>
      </c>
      <c r="B210" s="5" t="s">
        <v>422</v>
      </c>
      <c r="C210" s="6"/>
      <c r="D210" s="7">
        <v>45400.0</v>
      </c>
      <c r="E210" s="8">
        <v>45616.0</v>
      </c>
      <c r="F210" s="8">
        <v>45616.0</v>
      </c>
    </row>
    <row r="211">
      <c r="A211" s="4" t="s">
        <v>423</v>
      </c>
      <c r="B211" s="5" t="s">
        <v>424</v>
      </c>
      <c r="C211" s="6"/>
      <c r="D211" s="7">
        <v>45400.0</v>
      </c>
      <c r="E211" s="7">
        <v>45867.0</v>
      </c>
      <c r="F211" s="7">
        <v>45867.0</v>
      </c>
    </row>
    <row r="212">
      <c r="A212" s="4" t="s">
        <v>425</v>
      </c>
      <c r="B212" s="5" t="s">
        <v>426</v>
      </c>
      <c r="C212" s="6"/>
      <c r="D212" s="7">
        <v>45400.0</v>
      </c>
      <c r="E212" s="8">
        <v>45615.0</v>
      </c>
      <c r="F212" s="8">
        <v>45615.0</v>
      </c>
    </row>
    <row r="213">
      <c r="A213" s="4" t="s">
        <v>427</v>
      </c>
      <c r="B213" s="5" t="s">
        <v>428</v>
      </c>
      <c r="C213" s="6"/>
      <c r="D213" s="7">
        <v>45400.0</v>
      </c>
      <c r="E213" s="8">
        <v>45615.0</v>
      </c>
      <c r="F213" s="8">
        <v>45615.0</v>
      </c>
    </row>
    <row r="214">
      <c r="A214" s="4" t="s">
        <v>429</v>
      </c>
      <c r="B214" s="5" t="s">
        <v>430</v>
      </c>
      <c r="C214" s="6"/>
      <c r="D214" s="7">
        <v>45400.0</v>
      </c>
      <c r="E214" s="8">
        <v>45615.0</v>
      </c>
      <c r="F214" s="8">
        <v>45615.0</v>
      </c>
    </row>
    <row r="215">
      <c r="A215" s="4" t="s">
        <v>431</v>
      </c>
      <c r="B215" s="5" t="s">
        <v>432</v>
      </c>
      <c r="C215" s="6"/>
      <c r="D215" s="7">
        <v>45401.0</v>
      </c>
      <c r="E215" s="7">
        <v>45818.0</v>
      </c>
      <c r="F215" s="7">
        <v>45818.0</v>
      </c>
    </row>
    <row r="216">
      <c r="A216" s="4" t="s">
        <v>433</v>
      </c>
      <c r="B216" s="5" t="s">
        <v>434</v>
      </c>
      <c r="C216" s="6"/>
      <c r="D216" s="7">
        <v>45401.0</v>
      </c>
      <c r="E216" s="8">
        <v>45611.0</v>
      </c>
      <c r="F216" s="8">
        <v>45611.0</v>
      </c>
    </row>
    <row r="217">
      <c r="A217" s="4" t="s">
        <v>435</v>
      </c>
      <c r="B217" s="5" t="s">
        <v>436</v>
      </c>
      <c r="C217" s="6"/>
      <c r="D217" s="7">
        <v>45401.0</v>
      </c>
      <c r="E217" s="8">
        <v>45611.0</v>
      </c>
      <c r="F217" s="8">
        <v>45611.0</v>
      </c>
    </row>
    <row r="218">
      <c r="A218" s="4" t="s">
        <v>437</v>
      </c>
      <c r="B218" s="5" t="s">
        <v>438</v>
      </c>
      <c r="C218" s="6"/>
      <c r="D218" s="7">
        <v>45401.0</v>
      </c>
      <c r="E218" s="8">
        <v>45610.0</v>
      </c>
      <c r="F218" s="8">
        <v>45610.0</v>
      </c>
    </row>
    <row r="219">
      <c r="A219" s="4" t="s">
        <v>439</v>
      </c>
      <c r="B219" s="5" t="s">
        <v>440</v>
      </c>
      <c r="C219" s="6"/>
      <c r="D219" s="7">
        <v>45401.0</v>
      </c>
      <c r="E219" s="8">
        <v>45610.0</v>
      </c>
      <c r="F219" s="8">
        <v>45610.0</v>
      </c>
    </row>
    <row r="220">
      <c r="A220" s="4" t="s">
        <v>441</v>
      </c>
      <c r="B220" s="5" t="s">
        <v>442</v>
      </c>
      <c r="C220" s="6"/>
      <c r="D220" s="7">
        <v>45401.0</v>
      </c>
      <c r="E220" s="8">
        <v>45610.0</v>
      </c>
      <c r="F220" s="8">
        <v>45610.0</v>
      </c>
    </row>
    <row r="221">
      <c r="A221" s="4" t="s">
        <v>443</v>
      </c>
      <c r="B221" s="5" t="s">
        <v>444</v>
      </c>
      <c r="C221" s="6"/>
      <c r="D221" s="7">
        <v>45401.0</v>
      </c>
      <c r="E221" s="8">
        <v>45610.0</v>
      </c>
      <c r="F221" s="8">
        <v>45610.0</v>
      </c>
    </row>
    <row r="222">
      <c r="A222" s="4" t="s">
        <v>445</v>
      </c>
      <c r="B222" s="5" t="s">
        <v>446</v>
      </c>
      <c r="C222" s="6"/>
      <c r="D222" s="7">
        <v>45404.0</v>
      </c>
      <c r="E222" s="8">
        <v>45610.0</v>
      </c>
      <c r="F222" s="8">
        <v>45610.0</v>
      </c>
    </row>
    <row r="223">
      <c r="A223" s="4" t="s">
        <v>447</v>
      </c>
      <c r="B223" s="5" t="s">
        <v>448</v>
      </c>
      <c r="C223" s="6"/>
      <c r="D223" s="7">
        <v>45404.0</v>
      </c>
      <c r="E223" s="8">
        <v>45610.0</v>
      </c>
      <c r="F223" s="8">
        <v>45610.0</v>
      </c>
    </row>
    <row r="224">
      <c r="A224" s="4" t="s">
        <v>449</v>
      </c>
      <c r="B224" s="5" t="s">
        <v>450</v>
      </c>
      <c r="C224" s="6"/>
      <c r="D224" s="7">
        <v>45404.0</v>
      </c>
      <c r="E224" s="8">
        <v>45609.0</v>
      </c>
      <c r="F224" s="8">
        <v>45609.0</v>
      </c>
    </row>
    <row r="225">
      <c r="A225" s="4" t="s">
        <v>451</v>
      </c>
      <c r="B225" s="5" t="s">
        <v>452</v>
      </c>
      <c r="C225" s="6"/>
      <c r="D225" s="7">
        <v>45404.0</v>
      </c>
      <c r="E225" s="8">
        <v>45609.0</v>
      </c>
      <c r="F225" s="8">
        <v>45609.0</v>
      </c>
    </row>
    <row r="226">
      <c r="A226" s="4" t="s">
        <v>453</v>
      </c>
      <c r="B226" s="5" t="s">
        <v>454</v>
      </c>
      <c r="C226" s="6"/>
      <c r="D226" s="7">
        <v>45404.0</v>
      </c>
      <c r="E226" s="8">
        <v>45609.0</v>
      </c>
      <c r="F226" s="8">
        <v>45609.0</v>
      </c>
    </row>
    <row r="227">
      <c r="A227" s="4" t="s">
        <v>455</v>
      </c>
      <c r="B227" s="5" t="s">
        <v>456</v>
      </c>
      <c r="C227" s="6"/>
      <c r="D227" s="7">
        <v>45405.0</v>
      </c>
      <c r="E227" s="8">
        <v>45608.0</v>
      </c>
      <c r="F227" s="8">
        <v>45608.0</v>
      </c>
    </row>
    <row r="228">
      <c r="A228" s="4" t="s">
        <v>457</v>
      </c>
      <c r="B228" s="5" t="s">
        <v>458</v>
      </c>
      <c r="C228" s="6"/>
      <c r="D228" s="7">
        <v>45405.0</v>
      </c>
      <c r="E228" s="8">
        <v>45608.0</v>
      </c>
      <c r="F228" s="8">
        <v>45608.0</v>
      </c>
    </row>
    <row r="229">
      <c r="A229" s="4" t="s">
        <v>459</v>
      </c>
      <c r="B229" s="5" t="s">
        <v>460</v>
      </c>
      <c r="C229" s="6"/>
      <c r="D229" s="7">
        <v>45405.0</v>
      </c>
      <c r="E229" s="8">
        <v>45608.0</v>
      </c>
      <c r="F229" s="8">
        <v>45608.0</v>
      </c>
    </row>
    <row r="230">
      <c r="A230" s="4" t="s">
        <v>461</v>
      </c>
      <c r="B230" s="5" t="s">
        <v>462</v>
      </c>
      <c r="C230" s="6"/>
      <c r="D230" s="7">
        <v>45405.0</v>
      </c>
      <c r="E230" s="7">
        <v>45604.0</v>
      </c>
      <c r="F230" s="7">
        <v>45604.0</v>
      </c>
    </row>
    <row r="231">
      <c r="A231" s="4" t="s">
        <v>463</v>
      </c>
      <c r="B231" s="5" t="s">
        <v>464</v>
      </c>
      <c r="C231" s="6"/>
      <c r="D231" s="7">
        <v>45405.0</v>
      </c>
      <c r="E231" s="7">
        <v>45604.0</v>
      </c>
      <c r="F231" s="7">
        <v>45604.0</v>
      </c>
    </row>
    <row r="232">
      <c r="A232" s="4" t="s">
        <v>465</v>
      </c>
      <c r="B232" s="5" t="s">
        <v>466</v>
      </c>
      <c r="C232" s="6"/>
      <c r="D232" s="7">
        <v>45405.0</v>
      </c>
      <c r="E232" s="7">
        <v>45833.0</v>
      </c>
      <c r="F232" s="7">
        <v>45833.0</v>
      </c>
    </row>
    <row r="233">
      <c r="A233" s="4" t="s">
        <v>467</v>
      </c>
      <c r="B233" s="5" t="s">
        <v>468</v>
      </c>
      <c r="C233" s="6"/>
      <c r="D233" s="7">
        <v>45405.0</v>
      </c>
      <c r="E233" s="7">
        <v>45603.0</v>
      </c>
      <c r="F233" s="7">
        <v>45603.0</v>
      </c>
    </row>
    <row r="234">
      <c r="A234" s="4" t="s">
        <v>469</v>
      </c>
      <c r="B234" s="5" t="s">
        <v>470</v>
      </c>
      <c r="C234" s="6"/>
      <c r="D234" s="7">
        <v>45405.0</v>
      </c>
      <c r="E234" s="7">
        <v>45603.0</v>
      </c>
      <c r="F234" s="7">
        <v>45603.0</v>
      </c>
    </row>
    <row r="235">
      <c r="A235" s="4" t="s">
        <v>471</v>
      </c>
      <c r="B235" s="5" t="s">
        <v>472</v>
      </c>
      <c r="C235" s="6"/>
      <c r="D235" s="7">
        <v>45405.0</v>
      </c>
      <c r="E235" s="7">
        <v>45602.0</v>
      </c>
      <c r="F235" s="7">
        <v>45602.0</v>
      </c>
    </row>
    <row r="236">
      <c r="A236" s="4" t="s">
        <v>473</v>
      </c>
      <c r="B236" s="5" t="s">
        <v>474</v>
      </c>
      <c r="C236" s="6"/>
      <c r="D236" s="7">
        <v>45405.0</v>
      </c>
      <c r="E236" s="7">
        <v>45602.0</v>
      </c>
      <c r="F236" s="7">
        <v>45602.0</v>
      </c>
    </row>
    <row r="237">
      <c r="A237" s="4" t="s">
        <v>475</v>
      </c>
      <c r="B237" s="5" t="s">
        <v>476</v>
      </c>
      <c r="C237" s="6"/>
      <c r="D237" s="7">
        <v>45405.0</v>
      </c>
      <c r="E237" s="7">
        <v>45602.0</v>
      </c>
      <c r="F237" s="7">
        <v>45602.0</v>
      </c>
    </row>
    <row r="238">
      <c r="A238" s="4" t="s">
        <v>477</v>
      </c>
      <c r="B238" s="5" t="s">
        <v>478</v>
      </c>
      <c r="C238" s="6"/>
      <c r="D238" s="7">
        <v>45405.0</v>
      </c>
      <c r="E238" s="7">
        <v>45602.0</v>
      </c>
      <c r="F238" s="7">
        <v>45602.0</v>
      </c>
    </row>
    <row r="239">
      <c r="A239" s="4" t="s">
        <v>479</v>
      </c>
      <c r="B239" s="5" t="s">
        <v>480</v>
      </c>
      <c r="C239" s="6"/>
      <c r="D239" s="7">
        <v>45405.0</v>
      </c>
      <c r="E239" s="7">
        <v>45602.0</v>
      </c>
      <c r="F239" s="7">
        <v>45602.0</v>
      </c>
    </row>
    <row r="240">
      <c r="A240" s="4" t="s">
        <v>481</v>
      </c>
      <c r="B240" s="5" t="s">
        <v>482</v>
      </c>
      <c r="C240" s="6"/>
      <c r="D240" s="7">
        <v>45405.0</v>
      </c>
      <c r="E240" s="7">
        <v>45602.0</v>
      </c>
      <c r="F240" s="7">
        <v>45602.0</v>
      </c>
    </row>
    <row r="241">
      <c r="A241" s="4" t="s">
        <v>483</v>
      </c>
      <c r="B241" s="5" t="s">
        <v>484</v>
      </c>
      <c r="C241" s="6"/>
      <c r="D241" s="7">
        <v>45405.0</v>
      </c>
      <c r="E241" s="7">
        <v>45602.0</v>
      </c>
      <c r="F241" s="7">
        <v>45602.0</v>
      </c>
    </row>
    <row r="242">
      <c r="A242" s="4" t="s">
        <v>485</v>
      </c>
      <c r="B242" s="5" t="s">
        <v>486</v>
      </c>
      <c r="C242" s="6"/>
      <c r="D242" s="7">
        <v>45405.0</v>
      </c>
      <c r="E242" s="7">
        <v>45602.0</v>
      </c>
      <c r="F242" s="7">
        <v>45602.0</v>
      </c>
    </row>
    <row r="243">
      <c r="A243" s="4" t="s">
        <v>487</v>
      </c>
      <c r="B243" s="5" t="s">
        <v>488</v>
      </c>
      <c r="C243" s="6"/>
      <c r="D243" s="7">
        <v>45405.0</v>
      </c>
      <c r="E243" s="7">
        <v>45602.0</v>
      </c>
      <c r="F243" s="7">
        <v>45602.0</v>
      </c>
    </row>
    <row r="244">
      <c r="A244" s="4" t="s">
        <v>489</v>
      </c>
      <c r="B244" s="5" t="s">
        <v>490</v>
      </c>
      <c r="C244" s="6"/>
      <c r="D244" s="7">
        <v>45405.0</v>
      </c>
      <c r="E244" s="7">
        <v>45601.0</v>
      </c>
      <c r="F244" s="7">
        <v>45601.0</v>
      </c>
    </row>
    <row r="245">
      <c r="A245" s="4" t="s">
        <v>491</v>
      </c>
      <c r="B245" s="5" t="s">
        <v>492</v>
      </c>
      <c r="C245" s="6"/>
      <c r="D245" s="7">
        <v>45405.0</v>
      </c>
      <c r="E245" s="7">
        <v>45601.0</v>
      </c>
      <c r="F245" s="7">
        <v>45601.0</v>
      </c>
    </row>
    <row r="246">
      <c r="A246" s="4" t="s">
        <v>493</v>
      </c>
      <c r="B246" s="5" t="s">
        <v>494</v>
      </c>
      <c r="C246" s="6"/>
      <c r="D246" s="7">
        <v>45405.0</v>
      </c>
      <c r="E246" s="7">
        <v>45601.0</v>
      </c>
      <c r="F246" s="7">
        <v>45601.0</v>
      </c>
    </row>
    <row r="247">
      <c r="A247" s="4" t="s">
        <v>495</v>
      </c>
      <c r="B247" s="5" t="s">
        <v>496</v>
      </c>
      <c r="C247" s="6"/>
      <c r="D247" s="7">
        <v>45405.0</v>
      </c>
      <c r="E247" s="8">
        <v>45596.0</v>
      </c>
      <c r="F247" s="8">
        <v>45596.0</v>
      </c>
    </row>
    <row r="248">
      <c r="A248" s="4" t="s">
        <v>497</v>
      </c>
      <c r="B248" s="5" t="s">
        <v>498</v>
      </c>
      <c r="C248" s="6"/>
      <c r="D248" s="7">
        <v>45405.0</v>
      </c>
      <c r="E248" s="8">
        <v>45596.0</v>
      </c>
      <c r="F248" s="8">
        <v>45596.0</v>
      </c>
    </row>
    <row r="249">
      <c r="A249" s="4" t="s">
        <v>499</v>
      </c>
      <c r="B249" s="5" t="s">
        <v>500</v>
      </c>
      <c r="C249" s="6"/>
      <c r="D249" s="7">
        <v>45405.0</v>
      </c>
      <c r="E249" s="8">
        <v>45595.0</v>
      </c>
      <c r="F249" s="8">
        <v>45595.0</v>
      </c>
    </row>
    <row r="250">
      <c r="A250" s="4" t="s">
        <v>501</v>
      </c>
      <c r="B250" s="5" t="s">
        <v>502</v>
      </c>
      <c r="C250" s="6"/>
      <c r="D250" s="7">
        <v>45405.0</v>
      </c>
      <c r="E250" s="8">
        <v>45594.0</v>
      </c>
      <c r="F250" s="8">
        <v>45594.0</v>
      </c>
    </row>
    <row r="251">
      <c r="A251" s="4" t="s">
        <v>503</v>
      </c>
      <c r="B251" s="5" t="s">
        <v>504</v>
      </c>
      <c r="C251" s="6"/>
      <c r="D251" s="7">
        <v>45405.0</v>
      </c>
      <c r="E251" s="8">
        <v>45594.0</v>
      </c>
      <c r="F251" s="8">
        <v>45594.0</v>
      </c>
    </row>
    <row r="252">
      <c r="A252" s="4" t="s">
        <v>505</v>
      </c>
      <c r="B252" s="5" t="s">
        <v>506</v>
      </c>
      <c r="C252" s="6"/>
      <c r="D252" s="7">
        <v>45405.0</v>
      </c>
      <c r="E252" s="8">
        <v>45594.0</v>
      </c>
      <c r="F252" s="8">
        <v>45594.0</v>
      </c>
    </row>
    <row r="253">
      <c r="A253" s="4" t="s">
        <v>507</v>
      </c>
      <c r="B253" s="5" t="s">
        <v>508</v>
      </c>
      <c r="C253" s="6"/>
      <c r="D253" s="7">
        <v>45405.0</v>
      </c>
      <c r="E253" s="8">
        <v>45593.0</v>
      </c>
      <c r="F253" s="8">
        <v>45593.0</v>
      </c>
    </row>
    <row r="254">
      <c r="A254" s="4" t="s">
        <v>509</v>
      </c>
      <c r="B254" s="5" t="s">
        <v>510</v>
      </c>
      <c r="C254" s="6"/>
      <c r="D254" s="7">
        <v>45405.0</v>
      </c>
      <c r="E254" s="8">
        <v>45589.0</v>
      </c>
      <c r="F254" s="8">
        <v>45589.0</v>
      </c>
    </row>
    <row r="255">
      <c r="A255" s="4" t="s">
        <v>511</v>
      </c>
      <c r="B255" s="5" t="s">
        <v>512</v>
      </c>
      <c r="C255" s="6"/>
      <c r="D255" s="7">
        <v>45405.0</v>
      </c>
      <c r="E255" s="8">
        <v>45589.0</v>
      </c>
      <c r="F255" s="8">
        <v>45589.0</v>
      </c>
    </row>
    <row r="256">
      <c r="A256" s="4" t="s">
        <v>513</v>
      </c>
      <c r="B256" s="5" t="s">
        <v>514</v>
      </c>
      <c r="C256" s="6"/>
      <c r="D256" s="7">
        <v>45405.0</v>
      </c>
      <c r="E256" s="8">
        <v>45589.0</v>
      </c>
      <c r="F256" s="8">
        <v>45589.0</v>
      </c>
    </row>
    <row r="257">
      <c r="A257" s="4" t="s">
        <v>515</v>
      </c>
      <c r="B257" s="5" t="s">
        <v>516</v>
      </c>
      <c r="C257" s="6"/>
      <c r="D257" s="7">
        <v>45405.0</v>
      </c>
      <c r="E257" s="8">
        <v>45588.0</v>
      </c>
      <c r="F257" s="8">
        <v>45588.0</v>
      </c>
    </row>
    <row r="258">
      <c r="A258" s="4" t="s">
        <v>517</v>
      </c>
      <c r="B258" s="5" t="s">
        <v>518</v>
      </c>
      <c r="C258" s="6"/>
      <c r="D258" s="7">
        <v>45405.0</v>
      </c>
      <c r="E258" s="8">
        <v>45588.0</v>
      </c>
      <c r="F258" s="8">
        <v>45588.0</v>
      </c>
    </row>
    <row r="259">
      <c r="A259" s="4" t="s">
        <v>519</v>
      </c>
      <c r="B259" s="5" t="s">
        <v>520</v>
      </c>
      <c r="C259" s="6"/>
      <c r="D259" s="7">
        <v>45405.0</v>
      </c>
      <c r="E259" s="8">
        <v>45588.0</v>
      </c>
      <c r="F259" s="8">
        <v>45588.0</v>
      </c>
    </row>
    <row r="260">
      <c r="A260" s="4" t="s">
        <v>521</v>
      </c>
      <c r="B260" s="5" t="s">
        <v>522</v>
      </c>
      <c r="C260" s="6"/>
      <c r="D260" s="7">
        <v>45405.0</v>
      </c>
      <c r="E260" s="8">
        <v>45588.0</v>
      </c>
      <c r="F260" s="8">
        <v>45588.0</v>
      </c>
    </row>
    <row r="261">
      <c r="A261" s="4" t="s">
        <v>523</v>
      </c>
      <c r="B261" s="5" t="s">
        <v>524</v>
      </c>
      <c r="C261" s="6"/>
      <c r="D261" s="7">
        <v>45405.0</v>
      </c>
      <c r="E261" s="8">
        <v>45588.0</v>
      </c>
      <c r="F261" s="8">
        <v>45588.0</v>
      </c>
    </row>
    <row r="262">
      <c r="A262" s="4" t="s">
        <v>525</v>
      </c>
      <c r="B262" s="5" t="s">
        <v>526</v>
      </c>
      <c r="C262" s="6"/>
      <c r="D262" s="7">
        <v>45405.0</v>
      </c>
      <c r="E262" s="8">
        <v>45587.0</v>
      </c>
      <c r="F262" s="8">
        <v>45587.0</v>
      </c>
    </row>
    <row r="263">
      <c r="A263" s="4" t="s">
        <v>527</v>
      </c>
      <c r="B263" s="5" t="s">
        <v>528</v>
      </c>
      <c r="C263" s="6"/>
      <c r="D263" s="7">
        <v>45405.0</v>
      </c>
      <c r="E263" s="8">
        <v>45587.0</v>
      </c>
      <c r="F263" s="8">
        <v>45587.0</v>
      </c>
    </row>
    <row r="264">
      <c r="A264" s="4" t="s">
        <v>529</v>
      </c>
      <c r="B264" s="5" t="s">
        <v>530</v>
      </c>
      <c r="C264" s="6"/>
      <c r="D264" s="7">
        <v>45406.0</v>
      </c>
      <c r="E264" s="8">
        <v>45587.0</v>
      </c>
      <c r="F264" s="8">
        <v>45587.0</v>
      </c>
    </row>
    <row r="265">
      <c r="A265" s="4" t="s">
        <v>531</v>
      </c>
      <c r="B265" s="5" t="s">
        <v>532</v>
      </c>
      <c r="C265" s="6"/>
      <c r="D265" s="7">
        <v>45406.0</v>
      </c>
      <c r="E265" s="8">
        <v>45586.0</v>
      </c>
      <c r="F265" s="8">
        <v>45586.0</v>
      </c>
    </row>
    <row r="266">
      <c r="A266" s="4" t="s">
        <v>533</v>
      </c>
      <c r="B266" s="5" t="s">
        <v>534</v>
      </c>
      <c r="C266" s="6"/>
      <c r="D266" s="7">
        <v>45406.0</v>
      </c>
      <c r="E266" s="8">
        <v>45586.0</v>
      </c>
      <c r="F266" s="8">
        <v>45586.0</v>
      </c>
    </row>
    <row r="267">
      <c r="A267" s="4" t="s">
        <v>535</v>
      </c>
      <c r="B267" s="5" t="s">
        <v>536</v>
      </c>
      <c r="C267" s="6"/>
      <c r="D267" s="7">
        <v>45406.0</v>
      </c>
      <c r="E267" s="8">
        <v>45582.0</v>
      </c>
      <c r="F267" s="8">
        <v>45582.0</v>
      </c>
    </row>
    <row r="268">
      <c r="A268" s="4" t="s">
        <v>537</v>
      </c>
      <c r="B268" s="5" t="s">
        <v>538</v>
      </c>
      <c r="C268" s="6"/>
      <c r="D268" s="7">
        <v>45406.0</v>
      </c>
      <c r="E268" s="8">
        <v>45582.0</v>
      </c>
      <c r="F268" s="8">
        <v>45582.0</v>
      </c>
    </row>
    <row r="269">
      <c r="A269" s="4" t="s">
        <v>539</v>
      </c>
      <c r="B269" s="5" t="s">
        <v>540</v>
      </c>
      <c r="C269" s="6"/>
      <c r="D269" s="7">
        <v>45406.0</v>
      </c>
      <c r="E269" s="8">
        <v>45582.0</v>
      </c>
      <c r="F269" s="8">
        <v>45582.0</v>
      </c>
    </row>
    <row r="270">
      <c r="A270" s="4" t="s">
        <v>541</v>
      </c>
      <c r="B270" s="5" t="s">
        <v>542</v>
      </c>
      <c r="C270" s="6"/>
      <c r="D270" s="7">
        <v>45406.0</v>
      </c>
      <c r="E270" s="8">
        <v>45581.0</v>
      </c>
      <c r="F270" s="8">
        <v>45581.0</v>
      </c>
    </row>
    <row r="271">
      <c r="A271" s="4" t="s">
        <v>543</v>
      </c>
      <c r="B271" s="5" t="s">
        <v>544</v>
      </c>
      <c r="C271" s="6"/>
      <c r="D271" s="7">
        <v>45406.0</v>
      </c>
      <c r="E271" s="8">
        <v>45579.0</v>
      </c>
      <c r="F271" s="8">
        <v>45579.0</v>
      </c>
    </row>
    <row r="272">
      <c r="A272" s="4" t="s">
        <v>545</v>
      </c>
      <c r="B272" s="5" t="s">
        <v>546</v>
      </c>
      <c r="C272" s="6"/>
      <c r="D272" s="7">
        <v>45406.0</v>
      </c>
      <c r="E272" s="8">
        <v>45575.0</v>
      </c>
      <c r="F272" s="8">
        <v>45575.0</v>
      </c>
    </row>
    <row r="273">
      <c r="A273" s="4" t="s">
        <v>547</v>
      </c>
      <c r="B273" s="5" t="s">
        <v>548</v>
      </c>
      <c r="C273" s="6"/>
      <c r="D273" s="7">
        <v>45406.0</v>
      </c>
      <c r="E273" s="7">
        <v>45573.0</v>
      </c>
      <c r="F273" s="7">
        <v>45573.0</v>
      </c>
    </row>
    <row r="274">
      <c r="A274" s="4" t="s">
        <v>549</v>
      </c>
      <c r="B274" s="5" t="s">
        <v>550</v>
      </c>
      <c r="C274" s="6"/>
      <c r="D274" s="7">
        <v>45406.0</v>
      </c>
      <c r="E274" s="7">
        <v>45569.0</v>
      </c>
      <c r="F274" s="7">
        <v>45569.0</v>
      </c>
    </row>
    <row r="275">
      <c r="A275" s="4" t="s">
        <v>551</v>
      </c>
      <c r="B275" s="5" t="s">
        <v>552</v>
      </c>
      <c r="C275" s="6"/>
      <c r="D275" s="7">
        <v>45406.0</v>
      </c>
      <c r="E275" s="7">
        <v>45569.0</v>
      </c>
      <c r="F275" s="7">
        <v>45569.0</v>
      </c>
    </row>
    <row r="276">
      <c r="A276" s="4" t="s">
        <v>553</v>
      </c>
      <c r="B276" s="5" t="s">
        <v>554</v>
      </c>
      <c r="C276" s="6"/>
      <c r="D276" s="7">
        <v>45406.0</v>
      </c>
      <c r="E276" s="7">
        <v>45568.0</v>
      </c>
      <c r="F276" s="7">
        <v>45568.0</v>
      </c>
    </row>
    <row r="277">
      <c r="A277" s="4" t="s">
        <v>555</v>
      </c>
      <c r="B277" s="5" t="s">
        <v>556</v>
      </c>
      <c r="C277" s="6"/>
      <c r="D277" s="7">
        <v>45406.0</v>
      </c>
      <c r="E277" s="7">
        <v>45568.0</v>
      </c>
      <c r="F277" s="7">
        <v>45568.0</v>
      </c>
    </row>
    <row r="278">
      <c r="A278" s="4" t="s">
        <v>557</v>
      </c>
      <c r="B278" s="5" t="s">
        <v>558</v>
      </c>
      <c r="C278" s="6"/>
      <c r="D278" s="7">
        <v>45406.0</v>
      </c>
      <c r="E278" s="7">
        <v>45568.0</v>
      </c>
      <c r="F278" s="7">
        <v>45568.0</v>
      </c>
    </row>
    <row r="279">
      <c r="A279" s="4" t="s">
        <v>559</v>
      </c>
      <c r="B279" s="5" t="s">
        <v>560</v>
      </c>
      <c r="C279" s="6"/>
      <c r="D279" s="7">
        <v>45406.0</v>
      </c>
      <c r="E279" s="7">
        <v>45567.0</v>
      </c>
      <c r="F279" s="7">
        <v>45567.0</v>
      </c>
    </row>
    <row r="280">
      <c r="A280" s="4" t="s">
        <v>561</v>
      </c>
      <c r="B280" s="5" t="s">
        <v>562</v>
      </c>
      <c r="C280" s="6"/>
      <c r="D280" s="7">
        <v>45406.0</v>
      </c>
      <c r="E280" s="7">
        <v>45772.0</v>
      </c>
      <c r="F280" s="7">
        <v>45772.0</v>
      </c>
    </row>
    <row r="281">
      <c r="A281" s="4" t="s">
        <v>563</v>
      </c>
      <c r="B281" s="5" t="s">
        <v>564</v>
      </c>
      <c r="C281" s="6"/>
      <c r="D281" s="7">
        <v>45406.0</v>
      </c>
      <c r="E281" s="7">
        <v>45562.0</v>
      </c>
      <c r="F281" s="7">
        <v>45562.0</v>
      </c>
    </row>
    <row r="282">
      <c r="A282" s="4" t="s">
        <v>565</v>
      </c>
      <c r="B282" s="5" t="s">
        <v>566</v>
      </c>
      <c r="C282" s="6"/>
      <c r="D282" s="7">
        <v>45406.0</v>
      </c>
      <c r="E282" s="7">
        <v>45561.0</v>
      </c>
      <c r="F282" s="7">
        <v>45561.0</v>
      </c>
    </row>
    <row r="283">
      <c r="A283" s="4" t="s">
        <v>567</v>
      </c>
      <c r="B283" s="5" t="s">
        <v>568</v>
      </c>
      <c r="C283" s="6"/>
      <c r="D283" s="7">
        <v>45406.0</v>
      </c>
      <c r="E283" s="7">
        <v>45561.0</v>
      </c>
      <c r="F283" s="7">
        <v>45561.0</v>
      </c>
    </row>
    <row r="284">
      <c r="A284" s="4" t="s">
        <v>569</v>
      </c>
      <c r="B284" s="5" t="s">
        <v>570</v>
      </c>
      <c r="C284" s="6"/>
      <c r="D284" s="7">
        <v>45406.0</v>
      </c>
      <c r="E284" s="7">
        <v>45561.0</v>
      </c>
      <c r="F284" s="7">
        <v>45561.0</v>
      </c>
    </row>
    <row r="285">
      <c r="A285" s="4" t="s">
        <v>571</v>
      </c>
      <c r="B285" s="5" t="s">
        <v>572</v>
      </c>
      <c r="C285" s="6"/>
      <c r="D285" s="7">
        <v>45406.0</v>
      </c>
      <c r="E285" s="7">
        <v>45560.0</v>
      </c>
      <c r="F285" s="7">
        <v>45560.0</v>
      </c>
    </row>
    <row r="286">
      <c r="A286" s="4" t="s">
        <v>573</v>
      </c>
      <c r="B286" s="5" t="s">
        <v>574</v>
      </c>
      <c r="C286" s="6"/>
      <c r="D286" s="7">
        <v>45406.0</v>
      </c>
      <c r="E286" s="7">
        <v>45560.0</v>
      </c>
      <c r="F286" s="7">
        <v>45560.0</v>
      </c>
    </row>
    <row r="287">
      <c r="A287" s="4" t="s">
        <v>575</v>
      </c>
      <c r="B287" s="5" t="s">
        <v>576</v>
      </c>
      <c r="C287" s="6"/>
      <c r="D287" s="7">
        <v>45406.0</v>
      </c>
      <c r="E287" s="7">
        <v>45790.0</v>
      </c>
      <c r="F287" s="7">
        <v>45790.0</v>
      </c>
    </row>
    <row r="288">
      <c r="A288" s="4" t="s">
        <v>577</v>
      </c>
      <c r="B288" s="5" t="s">
        <v>578</v>
      </c>
      <c r="C288" s="6"/>
      <c r="D288" s="7">
        <v>45406.0</v>
      </c>
      <c r="E288" s="7">
        <v>45559.0</v>
      </c>
      <c r="F288" s="7">
        <v>45559.0</v>
      </c>
    </row>
    <row r="289">
      <c r="A289" s="4" t="s">
        <v>579</v>
      </c>
      <c r="B289" s="5" t="s">
        <v>580</v>
      </c>
      <c r="C289" s="6"/>
      <c r="D289" s="7">
        <v>45406.0</v>
      </c>
      <c r="E289" s="7">
        <v>45559.0</v>
      </c>
      <c r="F289" s="7">
        <v>45559.0</v>
      </c>
    </row>
    <row r="290">
      <c r="A290" s="4" t="s">
        <v>581</v>
      </c>
      <c r="B290" s="5" t="s">
        <v>582</v>
      </c>
      <c r="C290" s="6"/>
      <c r="D290" s="7">
        <v>45406.0</v>
      </c>
      <c r="E290" s="7">
        <v>45558.0</v>
      </c>
      <c r="F290" s="7">
        <v>45558.0</v>
      </c>
    </row>
    <row r="291">
      <c r="A291" s="4" t="s">
        <v>583</v>
      </c>
      <c r="B291" s="5" t="s">
        <v>584</v>
      </c>
      <c r="C291" s="6"/>
      <c r="D291" s="7">
        <v>45406.0</v>
      </c>
      <c r="E291" s="7">
        <v>45905.0</v>
      </c>
      <c r="F291" s="7">
        <v>45905.0</v>
      </c>
    </row>
    <row r="292">
      <c r="A292" s="4" t="s">
        <v>585</v>
      </c>
      <c r="B292" s="5" t="s">
        <v>586</v>
      </c>
      <c r="C292" s="6"/>
      <c r="D292" s="7">
        <v>45406.0</v>
      </c>
      <c r="E292" s="7">
        <v>45894.0</v>
      </c>
      <c r="F292" s="7">
        <v>45894.0</v>
      </c>
    </row>
    <row r="293">
      <c r="A293" s="4" t="s">
        <v>587</v>
      </c>
      <c r="B293" s="5" t="s">
        <v>588</v>
      </c>
      <c r="C293" s="6"/>
      <c r="D293" s="7">
        <v>45406.0</v>
      </c>
      <c r="E293" s="7">
        <v>45776.0</v>
      </c>
      <c r="F293" s="7">
        <v>45776.0</v>
      </c>
    </row>
    <row r="294">
      <c r="A294" s="4" t="s">
        <v>589</v>
      </c>
      <c r="B294" s="5" t="s">
        <v>590</v>
      </c>
      <c r="C294" s="6"/>
      <c r="D294" s="7">
        <v>45406.0</v>
      </c>
      <c r="E294" s="7">
        <v>45553.0</v>
      </c>
      <c r="F294" s="7">
        <v>45553.0</v>
      </c>
    </row>
    <row r="295">
      <c r="A295" s="4" t="s">
        <v>591</v>
      </c>
      <c r="B295" s="5" t="s">
        <v>592</v>
      </c>
      <c r="C295" s="6"/>
      <c r="D295" s="7">
        <v>45406.0</v>
      </c>
      <c r="E295" s="7">
        <v>45553.0</v>
      </c>
      <c r="F295" s="7">
        <v>45553.0</v>
      </c>
    </row>
    <row r="296">
      <c r="A296" s="4" t="s">
        <v>593</v>
      </c>
      <c r="B296" s="5" t="s">
        <v>594</v>
      </c>
      <c r="C296" s="6"/>
      <c r="D296" s="7">
        <v>45406.0</v>
      </c>
      <c r="E296" s="7">
        <v>45553.0</v>
      </c>
      <c r="F296" s="7">
        <v>45553.0</v>
      </c>
    </row>
    <row r="297">
      <c r="A297" s="4" t="s">
        <v>595</v>
      </c>
      <c r="B297" s="5" t="s">
        <v>596</v>
      </c>
      <c r="C297" s="6"/>
      <c r="D297" s="7">
        <v>45406.0</v>
      </c>
      <c r="E297" s="7">
        <v>45553.0</v>
      </c>
      <c r="F297" s="7">
        <v>45553.0</v>
      </c>
    </row>
    <row r="298">
      <c r="A298" s="4" t="s">
        <v>597</v>
      </c>
      <c r="B298" s="5" t="s">
        <v>598</v>
      </c>
      <c r="C298" s="6"/>
      <c r="D298" s="7">
        <v>45406.0</v>
      </c>
      <c r="E298" s="7">
        <v>45553.0</v>
      </c>
      <c r="F298" s="7">
        <v>45553.0</v>
      </c>
    </row>
    <row r="299">
      <c r="A299" s="4" t="s">
        <v>599</v>
      </c>
      <c r="B299" s="5" t="s">
        <v>600</v>
      </c>
      <c r="C299" s="6"/>
      <c r="D299" s="7">
        <v>45406.0</v>
      </c>
      <c r="E299" s="7">
        <v>45552.0</v>
      </c>
      <c r="F299" s="7">
        <v>45552.0</v>
      </c>
    </row>
    <row r="300">
      <c r="A300" s="4" t="s">
        <v>601</v>
      </c>
      <c r="B300" s="5" t="s">
        <v>602</v>
      </c>
      <c r="C300" s="6"/>
      <c r="D300" s="7">
        <v>45406.0</v>
      </c>
      <c r="E300" s="7">
        <v>45552.0</v>
      </c>
      <c r="F300" s="7">
        <v>45552.0</v>
      </c>
    </row>
    <row r="301">
      <c r="A301" s="4" t="s">
        <v>603</v>
      </c>
      <c r="B301" s="5" t="s">
        <v>604</v>
      </c>
      <c r="C301" s="6"/>
      <c r="D301" s="7">
        <v>45406.0</v>
      </c>
      <c r="E301" s="7">
        <v>45552.0</v>
      </c>
      <c r="F301" s="7">
        <v>45552.0</v>
      </c>
    </row>
    <row r="302">
      <c r="A302" s="4" t="s">
        <v>605</v>
      </c>
      <c r="B302" s="5" t="s">
        <v>606</v>
      </c>
      <c r="C302" s="6"/>
      <c r="D302" s="7">
        <v>45406.0</v>
      </c>
      <c r="E302" s="7">
        <v>45552.0</v>
      </c>
      <c r="F302" s="7">
        <v>45552.0</v>
      </c>
    </row>
    <row r="303">
      <c r="A303" s="4" t="s">
        <v>607</v>
      </c>
      <c r="B303" s="5" t="s">
        <v>608</v>
      </c>
      <c r="C303" s="6"/>
      <c r="D303" s="7">
        <v>45406.0</v>
      </c>
      <c r="E303" s="7">
        <v>45551.0</v>
      </c>
      <c r="F303" s="7">
        <v>45551.0</v>
      </c>
    </row>
    <row r="304">
      <c r="A304" s="4" t="s">
        <v>609</v>
      </c>
      <c r="B304" s="5" t="s">
        <v>610</v>
      </c>
      <c r="C304" s="6"/>
      <c r="D304" s="7">
        <v>45406.0</v>
      </c>
      <c r="E304" s="7">
        <v>45551.0</v>
      </c>
      <c r="F304" s="7">
        <v>45551.0</v>
      </c>
    </row>
    <row r="305">
      <c r="A305" s="4" t="s">
        <v>611</v>
      </c>
      <c r="B305" s="5" t="s">
        <v>612</v>
      </c>
      <c r="C305" s="6"/>
      <c r="D305" s="7">
        <v>45406.0</v>
      </c>
      <c r="E305" s="7">
        <v>45904.0</v>
      </c>
      <c r="F305" s="7">
        <v>45904.0</v>
      </c>
    </row>
    <row r="306">
      <c r="A306" s="4" t="s">
        <v>613</v>
      </c>
      <c r="B306" s="5" t="s">
        <v>614</v>
      </c>
      <c r="C306" s="6"/>
      <c r="D306" s="7">
        <v>45406.0</v>
      </c>
      <c r="E306" s="7">
        <v>45547.0</v>
      </c>
      <c r="F306" s="7">
        <v>45547.0</v>
      </c>
    </row>
    <row r="307">
      <c r="A307" s="4" t="s">
        <v>615</v>
      </c>
      <c r="B307" s="5" t="s">
        <v>616</v>
      </c>
      <c r="C307" s="6"/>
      <c r="D307" s="7">
        <v>45406.0</v>
      </c>
      <c r="E307" s="7">
        <v>45547.0</v>
      </c>
      <c r="F307" s="7">
        <v>45547.0</v>
      </c>
    </row>
    <row r="308">
      <c r="A308" s="4" t="s">
        <v>617</v>
      </c>
      <c r="B308" s="5" t="s">
        <v>618</v>
      </c>
      <c r="C308" s="6"/>
      <c r="D308" s="7">
        <v>45041.0</v>
      </c>
      <c r="E308" s="7">
        <v>45547.0</v>
      </c>
      <c r="F308" s="7">
        <v>45547.0</v>
      </c>
    </row>
    <row r="309">
      <c r="A309" s="4" t="s">
        <v>619</v>
      </c>
      <c r="B309" s="5" t="s">
        <v>620</v>
      </c>
      <c r="C309" s="6"/>
      <c r="D309" s="7">
        <v>45407.0</v>
      </c>
      <c r="E309" s="7">
        <v>45546.0</v>
      </c>
      <c r="F309" s="7">
        <v>45546.0</v>
      </c>
    </row>
    <row r="310">
      <c r="A310" s="4" t="s">
        <v>621</v>
      </c>
      <c r="B310" s="5" t="s">
        <v>622</v>
      </c>
      <c r="C310" s="6"/>
      <c r="D310" s="7">
        <v>45407.0</v>
      </c>
      <c r="E310" s="7">
        <v>45910.0</v>
      </c>
      <c r="F310" s="7">
        <v>45910.0</v>
      </c>
    </row>
    <row r="311">
      <c r="A311" s="4" t="s">
        <v>623</v>
      </c>
      <c r="B311" s="5" t="s">
        <v>624</v>
      </c>
      <c r="C311" s="6"/>
      <c r="D311" s="7">
        <v>45407.0</v>
      </c>
      <c r="E311" s="7">
        <v>45546.0</v>
      </c>
      <c r="F311" s="7">
        <v>45546.0</v>
      </c>
    </row>
    <row r="312">
      <c r="A312" s="4" t="s">
        <v>625</v>
      </c>
      <c r="B312" s="5" t="s">
        <v>626</v>
      </c>
      <c r="C312" s="6"/>
      <c r="D312" s="7">
        <v>45407.0</v>
      </c>
      <c r="E312" s="7">
        <v>45909.0</v>
      </c>
      <c r="F312" s="7">
        <v>45909.0</v>
      </c>
    </row>
    <row r="313">
      <c r="A313" s="4" t="s">
        <v>627</v>
      </c>
      <c r="B313" s="5" t="s">
        <v>628</v>
      </c>
      <c r="C313" s="6"/>
      <c r="D313" s="7">
        <v>45407.0</v>
      </c>
      <c r="E313" s="7">
        <v>45545.0</v>
      </c>
      <c r="F313" s="7">
        <v>45545.0</v>
      </c>
    </row>
    <row r="314">
      <c r="A314" s="4" t="s">
        <v>629</v>
      </c>
      <c r="B314" s="5" t="s">
        <v>630</v>
      </c>
      <c r="C314" s="6"/>
      <c r="D314" s="7">
        <v>45407.0</v>
      </c>
      <c r="E314" s="7">
        <v>45545.0</v>
      </c>
      <c r="F314" s="7">
        <v>45545.0</v>
      </c>
    </row>
    <row r="315">
      <c r="A315" s="4" t="s">
        <v>631</v>
      </c>
      <c r="B315" s="5" t="s">
        <v>632</v>
      </c>
      <c r="C315" s="6"/>
      <c r="D315" s="7">
        <v>45407.0</v>
      </c>
      <c r="E315" s="7">
        <v>45545.0</v>
      </c>
      <c r="F315" s="7">
        <v>45545.0</v>
      </c>
    </row>
    <row r="316">
      <c r="A316" s="4" t="s">
        <v>633</v>
      </c>
      <c r="B316" s="5" t="s">
        <v>634</v>
      </c>
      <c r="C316" s="6"/>
      <c r="D316" s="7">
        <v>45407.0</v>
      </c>
      <c r="E316" s="7">
        <v>45814.0</v>
      </c>
      <c r="F316" s="7">
        <v>45814.0</v>
      </c>
    </row>
    <row r="317">
      <c r="A317" s="4" t="s">
        <v>635</v>
      </c>
      <c r="B317" s="5" t="s">
        <v>636</v>
      </c>
      <c r="C317" s="6"/>
      <c r="D317" s="7">
        <v>45407.0</v>
      </c>
      <c r="E317" s="7">
        <v>45544.0</v>
      </c>
      <c r="F317" s="7">
        <v>45544.0</v>
      </c>
    </row>
    <row r="318">
      <c r="A318" s="4" t="s">
        <v>637</v>
      </c>
      <c r="B318" s="5" t="s">
        <v>638</v>
      </c>
      <c r="C318" s="6"/>
      <c r="D318" s="7">
        <v>45407.0</v>
      </c>
      <c r="E318" s="7">
        <v>45904.0</v>
      </c>
      <c r="F318" s="7">
        <v>45904.0</v>
      </c>
    </row>
    <row r="319">
      <c r="A319" s="4" t="s">
        <v>639</v>
      </c>
      <c r="B319" s="5" t="s">
        <v>640</v>
      </c>
      <c r="C319" s="6"/>
      <c r="D319" s="7">
        <v>45407.0</v>
      </c>
      <c r="E319" s="7">
        <v>45904.0</v>
      </c>
      <c r="F319" s="7">
        <v>45904.0</v>
      </c>
    </row>
    <row r="320">
      <c r="A320" s="4" t="s">
        <v>641</v>
      </c>
      <c r="B320" s="5" t="s">
        <v>642</v>
      </c>
      <c r="C320" s="6"/>
      <c r="D320" s="7">
        <v>45407.0</v>
      </c>
      <c r="E320" s="7">
        <v>45540.0</v>
      </c>
      <c r="F320" s="7">
        <v>45540.0</v>
      </c>
    </row>
    <row r="321">
      <c r="A321" s="4" t="s">
        <v>643</v>
      </c>
      <c r="B321" s="5" t="s">
        <v>644</v>
      </c>
      <c r="C321" s="6"/>
      <c r="D321" s="7">
        <v>45407.0</v>
      </c>
      <c r="E321" s="7">
        <v>45876.0</v>
      </c>
      <c r="F321" s="7">
        <v>45876.0</v>
      </c>
    </row>
    <row r="322">
      <c r="A322" s="4" t="s">
        <v>645</v>
      </c>
      <c r="B322" s="5" t="s">
        <v>646</v>
      </c>
      <c r="C322" s="6"/>
      <c r="D322" s="7">
        <v>45407.0</v>
      </c>
      <c r="E322" s="7">
        <v>45903.0</v>
      </c>
      <c r="F322" s="7">
        <v>45903.0</v>
      </c>
    </row>
    <row r="323">
      <c r="A323" s="4" t="s">
        <v>647</v>
      </c>
      <c r="B323" s="5" t="s">
        <v>648</v>
      </c>
      <c r="C323" s="6"/>
      <c r="D323" s="7">
        <v>45407.0</v>
      </c>
      <c r="E323" s="7">
        <v>45903.0</v>
      </c>
      <c r="F323" s="7">
        <v>45903.0</v>
      </c>
    </row>
    <row r="324">
      <c r="A324" s="4" t="s">
        <v>649</v>
      </c>
      <c r="B324" s="5" t="s">
        <v>650</v>
      </c>
      <c r="C324" s="6"/>
      <c r="D324" s="7">
        <v>45407.0</v>
      </c>
      <c r="E324" s="7">
        <v>45539.0</v>
      </c>
      <c r="F324" s="7">
        <v>45539.0</v>
      </c>
    </row>
    <row r="325">
      <c r="A325" s="4" t="s">
        <v>651</v>
      </c>
      <c r="B325" s="5" t="s">
        <v>652</v>
      </c>
      <c r="C325" s="6"/>
      <c r="D325" s="7">
        <v>45407.0</v>
      </c>
      <c r="E325" s="7">
        <v>45539.0</v>
      </c>
      <c r="F325" s="7">
        <v>45539.0</v>
      </c>
    </row>
    <row r="326">
      <c r="A326" s="4" t="s">
        <v>653</v>
      </c>
      <c r="B326" s="5" t="s">
        <v>654</v>
      </c>
      <c r="C326" s="6"/>
      <c r="D326" s="7">
        <v>45407.0</v>
      </c>
      <c r="E326" s="7">
        <v>45798.0</v>
      </c>
      <c r="F326" s="7">
        <v>45798.0</v>
      </c>
    </row>
    <row r="327">
      <c r="A327" s="4" t="s">
        <v>655</v>
      </c>
      <c r="B327" s="5" t="s">
        <v>656</v>
      </c>
      <c r="C327" s="6"/>
      <c r="D327" s="7">
        <v>45407.0</v>
      </c>
      <c r="E327" s="7">
        <v>45891.0</v>
      </c>
      <c r="F327" s="7">
        <v>45891.0</v>
      </c>
    </row>
    <row r="328">
      <c r="A328" s="4" t="s">
        <v>657</v>
      </c>
      <c r="B328" s="5" t="s">
        <v>658</v>
      </c>
      <c r="C328" s="6"/>
      <c r="D328" s="7">
        <v>45407.0</v>
      </c>
      <c r="E328" s="7">
        <v>45734.0</v>
      </c>
      <c r="F328" s="7">
        <v>45734.0</v>
      </c>
    </row>
    <row r="329">
      <c r="A329" s="4" t="s">
        <v>659</v>
      </c>
      <c r="B329" s="5" t="s">
        <v>660</v>
      </c>
      <c r="C329" s="6"/>
      <c r="D329" s="7">
        <v>45407.0</v>
      </c>
      <c r="E329" s="7">
        <v>45897.0</v>
      </c>
      <c r="F329" s="7">
        <v>45897.0</v>
      </c>
    </row>
    <row r="330">
      <c r="A330" s="4" t="s">
        <v>661</v>
      </c>
      <c r="B330" s="5" t="s">
        <v>662</v>
      </c>
      <c r="C330" s="6"/>
      <c r="D330" s="7">
        <v>45407.0</v>
      </c>
      <c r="E330" s="7">
        <v>45903.0</v>
      </c>
      <c r="F330" s="7">
        <v>45903.0</v>
      </c>
    </row>
    <row r="331">
      <c r="A331" s="4" t="s">
        <v>663</v>
      </c>
      <c r="B331" s="5" t="s">
        <v>664</v>
      </c>
      <c r="C331" s="6"/>
      <c r="D331" s="7">
        <v>45407.0</v>
      </c>
      <c r="E331" s="7">
        <v>45896.0</v>
      </c>
      <c r="F331" s="7">
        <v>45896.0</v>
      </c>
    </row>
    <row r="332">
      <c r="A332" s="4" t="s">
        <v>665</v>
      </c>
      <c r="B332" s="5" t="s">
        <v>666</v>
      </c>
      <c r="C332" s="6"/>
      <c r="D332" s="7">
        <v>45407.0</v>
      </c>
      <c r="E332" s="7">
        <v>45819.0</v>
      </c>
      <c r="F332" s="7">
        <v>45819.0</v>
      </c>
    </row>
    <row r="333">
      <c r="A333" s="4" t="s">
        <v>667</v>
      </c>
      <c r="B333" s="5" t="s">
        <v>668</v>
      </c>
      <c r="C333" s="6"/>
      <c r="D333" s="7">
        <v>45407.0</v>
      </c>
      <c r="E333" s="7">
        <v>45895.0</v>
      </c>
      <c r="F333" s="7">
        <v>45895.0</v>
      </c>
    </row>
    <row r="334">
      <c r="A334" s="4" t="s">
        <v>669</v>
      </c>
      <c r="B334" s="5" t="s">
        <v>670</v>
      </c>
      <c r="C334" s="6"/>
      <c r="D334" s="7">
        <v>45407.0</v>
      </c>
      <c r="E334" s="7">
        <v>45531.0</v>
      </c>
      <c r="F334" s="7">
        <v>45531.0</v>
      </c>
    </row>
    <row r="335">
      <c r="A335" s="4" t="s">
        <v>671</v>
      </c>
      <c r="B335" s="5" t="s">
        <v>672</v>
      </c>
      <c r="C335" s="6"/>
      <c r="D335" s="7">
        <v>45407.0</v>
      </c>
      <c r="E335" s="7">
        <v>45895.0</v>
      </c>
      <c r="F335" s="7">
        <v>45895.0</v>
      </c>
    </row>
    <row r="336">
      <c r="A336" s="4" t="s">
        <v>673</v>
      </c>
      <c r="B336" s="5" t="s">
        <v>674</v>
      </c>
      <c r="C336" s="6"/>
      <c r="D336" s="7">
        <v>45407.0</v>
      </c>
      <c r="E336" s="7">
        <v>45889.0</v>
      </c>
      <c r="F336" s="7">
        <v>45889.0</v>
      </c>
    </row>
    <row r="337">
      <c r="A337" s="4" t="s">
        <v>675</v>
      </c>
      <c r="B337" s="5" t="s">
        <v>676</v>
      </c>
      <c r="C337" s="6"/>
      <c r="D337" s="7">
        <v>45407.0</v>
      </c>
      <c r="E337" s="7">
        <v>45890.0</v>
      </c>
      <c r="F337" s="7">
        <v>45890.0</v>
      </c>
    </row>
    <row r="338">
      <c r="A338" s="4" t="s">
        <v>677</v>
      </c>
      <c r="B338" s="5" t="s">
        <v>678</v>
      </c>
      <c r="C338" s="6"/>
      <c r="D338" s="7">
        <v>45407.0</v>
      </c>
      <c r="E338" s="7">
        <v>45890.0</v>
      </c>
      <c r="F338" s="7">
        <v>45890.0</v>
      </c>
    </row>
    <row r="339">
      <c r="A339" s="4" t="s">
        <v>679</v>
      </c>
      <c r="B339" s="5" t="s">
        <v>680</v>
      </c>
      <c r="C339" s="6"/>
      <c r="D339" s="7">
        <v>45407.0</v>
      </c>
      <c r="E339" s="7">
        <v>45889.0</v>
      </c>
      <c r="F339" s="7">
        <v>45889.0</v>
      </c>
    </row>
    <row r="340">
      <c r="A340" s="4" t="s">
        <v>681</v>
      </c>
      <c r="B340" s="5" t="s">
        <v>682</v>
      </c>
      <c r="C340" s="6"/>
      <c r="D340" s="7">
        <v>45407.0</v>
      </c>
      <c r="E340" s="7">
        <v>45889.0</v>
      </c>
      <c r="F340" s="7">
        <v>45889.0</v>
      </c>
    </row>
    <row r="341">
      <c r="A341" s="4" t="s">
        <v>683</v>
      </c>
      <c r="B341" s="5" t="s">
        <v>684</v>
      </c>
      <c r="C341" s="6"/>
      <c r="D341" s="7">
        <v>45407.0</v>
      </c>
      <c r="E341" s="7">
        <v>45888.0</v>
      </c>
      <c r="F341" s="7">
        <v>45888.0</v>
      </c>
    </row>
    <row r="342">
      <c r="A342" s="4" t="s">
        <v>685</v>
      </c>
      <c r="B342" s="5" t="s">
        <v>686</v>
      </c>
      <c r="C342" s="6"/>
      <c r="D342" s="7">
        <v>45407.0</v>
      </c>
      <c r="E342" s="7">
        <v>45895.0</v>
      </c>
      <c r="F342" s="7">
        <v>45895.0</v>
      </c>
    </row>
    <row r="343">
      <c r="A343" s="4" t="s">
        <v>687</v>
      </c>
      <c r="B343" s="5" t="s">
        <v>688</v>
      </c>
      <c r="C343" s="6"/>
      <c r="D343" s="7">
        <v>45407.0</v>
      </c>
      <c r="E343" s="7">
        <v>45524.0</v>
      </c>
      <c r="F343" s="7">
        <v>45524.0</v>
      </c>
    </row>
    <row r="344">
      <c r="A344" s="4" t="s">
        <v>689</v>
      </c>
      <c r="B344" s="5" t="s">
        <v>690</v>
      </c>
      <c r="C344" s="6"/>
      <c r="D344" s="7">
        <v>45407.0</v>
      </c>
      <c r="E344" s="7">
        <v>45887.0</v>
      </c>
      <c r="F344" s="7">
        <v>45887.0</v>
      </c>
    </row>
    <row r="345">
      <c r="A345" s="4" t="s">
        <v>691</v>
      </c>
      <c r="B345" s="5" t="s">
        <v>692</v>
      </c>
      <c r="C345" s="6"/>
      <c r="D345" s="7">
        <v>45407.0</v>
      </c>
      <c r="E345" s="7">
        <v>45523.0</v>
      </c>
      <c r="F345" s="7">
        <v>45523.0</v>
      </c>
    </row>
    <row r="346">
      <c r="A346" s="4" t="s">
        <v>693</v>
      </c>
      <c r="B346" s="5" t="s">
        <v>694</v>
      </c>
      <c r="C346" s="6"/>
      <c r="D346" s="7">
        <v>45407.0</v>
      </c>
      <c r="E346" s="7">
        <v>45890.0</v>
      </c>
      <c r="F346" s="7">
        <v>45890.0</v>
      </c>
    </row>
    <row r="347">
      <c r="A347" s="4" t="s">
        <v>695</v>
      </c>
      <c r="B347" s="5" t="s">
        <v>696</v>
      </c>
      <c r="C347" s="6"/>
      <c r="D347" s="7">
        <v>45407.0</v>
      </c>
      <c r="E347" s="7">
        <v>45890.0</v>
      </c>
      <c r="F347" s="7">
        <v>45890.0</v>
      </c>
    </row>
    <row r="348">
      <c r="A348" s="4" t="s">
        <v>697</v>
      </c>
      <c r="B348" s="5" t="s">
        <v>698</v>
      </c>
      <c r="C348" s="6"/>
      <c r="D348" s="7">
        <v>45407.0</v>
      </c>
      <c r="E348" s="7">
        <v>45897.0</v>
      </c>
      <c r="F348" s="7">
        <v>45897.0</v>
      </c>
    </row>
    <row r="349">
      <c r="A349" s="4" t="s">
        <v>699</v>
      </c>
      <c r="B349" s="5" t="s">
        <v>700</v>
      </c>
      <c r="C349" s="6"/>
      <c r="D349" s="7">
        <v>45407.0</v>
      </c>
      <c r="E349" s="7">
        <v>45890.0</v>
      </c>
      <c r="F349" s="7">
        <v>45890.0</v>
      </c>
    </row>
    <row r="350">
      <c r="A350" s="4" t="s">
        <v>701</v>
      </c>
      <c r="B350" s="5" t="s">
        <v>702</v>
      </c>
      <c r="C350" s="6"/>
      <c r="D350" s="7">
        <v>45407.0</v>
      </c>
      <c r="E350" s="7">
        <v>45863.0</v>
      </c>
      <c r="F350" s="7">
        <v>45863.0</v>
      </c>
    </row>
    <row r="351">
      <c r="A351" s="4" t="s">
        <v>703</v>
      </c>
      <c r="B351" s="5" t="s">
        <v>704</v>
      </c>
      <c r="C351" s="6"/>
      <c r="D351" s="7">
        <v>45407.0</v>
      </c>
      <c r="E351" s="7">
        <v>45825.0</v>
      </c>
      <c r="F351" s="7">
        <v>45825.0</v>
      </c>
    </row>
    <row r="352">
      <c r="A352" s="4" t="s">
        <v>705</v>
      </c>
      <c r="B352" s="5" t="s">
        <v>706</v>
      </c>
      <c r="C352" s="6"/>
      <c r="D352" s="7">
        <v>45407.0</v>
      </c>
      <c r="E352" s="7">
        <v>45882.0</v>
      </c>
      <c r="F352" s="7">
        <v>45882.0</v>
      </c>
    </row>
    <row r="353">
      <c r="A353" s="4" t="s">
        <v>707</v>
      </c>
      <c r="B353" s="5" t="s">
        <v>708</v>
      </c>
      <c r="C353" s="6"/>
      <c r="D353" s="7">
        <v>45407.0</v>
      </c>
      <c r="E353" s="7">
        <v>45798.0</v>
      </c>
      <c r="F353" s="7">
        <v>45798.0</v>
      </c>
    </row>
    <row r="354">
      <c r="A354" s="4" t="s">
        <v>709</v>
      </c>
      <c r="B354" s="5" t="s">
        <v>710</v>
      </c>
      <c r="C354" s="6"/>
      <c r="D354" s="7">
        <v>45407.0</v>
      </c>
      <c r="E354" s="7">
        <v>45517.0</v>
      </c>
      <c r="F354" s="7">
        <v>45517.0</v>
      </c>
    </row>
    <row r="355">
      <c r="A355" s="4" t="s">
        <v>711</v>
      </c>
      <c r="B355" s="5" t="s">
        <v>712</v>
      </c>
      <c r="C355" s="6"/>
      <c r="D355" s="7">
        <v>45407.0</v>
      </c>
      <c r="E355" s="7">
        <v>45882.0</v>
      </c>
      <c r="F355" s="7">
        <v>45882.0</v>
      </c>
    </row>
    <row r="356">
      <c r="A356" s="4" t="s">
        <v>713</v>
      </c>
      <c r="B356" s="5" t="s">
        <v>714</v>
      </c>
      <c r="C356" s="6"/>
      <c r="D356" s="7">
        <v>45407.0</v>
      </c>
      <c r="E356" s="7">
        <v>45797.0</v>
      </c>
      <c r="F356" s="7">
        <v>45797.0</v>
      </c>
    </row>
    <row r="357">
      <c r="A357" s="4" t="s">
        <v>715</v>
      </c>
      <c r="B357" s="5" t="s">
        <v>716</v>
      </c>
      <c r="C357" s="6"/>
      <c r="D357" s="7">
        <v>45407.0</v>
      </c>
      <c r="E357" s="7">
        <v>45881.0</v>
      </c>
      <c r="F357" s="7">
        <v>45881.0</v>
      </c>
    </row>
    <row r="358">
      <c r="A358" s="4" t="s">
        <v>717</v>
      </c>
      <c r="B358" s="5" t="s">
        <v>718</v>
      </c>
      <c r="C358" s="6"/>
      <c r="D358" s="7">
        <v>45407.0</v>
      </c>
      <c r="E358" s="7">
        <v>45881.0</v>
      </c>
      <c r="F358" s="7">
        <v>45881.0</v>
      </c>
    </row>
    <row r="359">
      <c r="A359" s="4" t="s">
        <v>719</v>
      </c>
      <c r="B359" s="5" t="s">
        <v>720</v>
      </c>
      <c r="C359" s="6"/>
      <c r="D359" s="7">
        <v>45407.0</v>
      </c>
      <c r="E359" s="7">
        <v>45896.0</v>
      </c>
      <c r="F359" s="7">
        <v>45896.0</v>
      </c>
    </row>
    <row r="360">
      <c r="A360" s="4" t="s">
        <v>721</v>
      </c>
      <c r="B360" s="5" t="s">
        <v>722</v>
      </c>
      <c r="C360" s="6"/>
      <c r="D360" s="7">
        <v>45407.0</v>
      </c>
      <c r="E360" s="7">
        <v>45876.0</v>
      </c>
      <c r="F360" s="7">
        <v>45876.0</v>
      </c>
    </row>
    <row r="361">
      <c r="A361" s="4" t="s">
        <v>723</v>
      </c>
      <c r="B361" s="5" t="s">
        <v>724</v>
      </c>
      <c r="C361" s="6"/>
      <c r="D361" s="7">
        <v>45407.0</v>
      </c>
      <c r="E361" s="7">
        <v>45876.0</v>
      </c>
      <c r="F361" s="7">
        <v>45876.0</v>
      </c>
    </row>
    <row r="362">
      <c r="A362" s="4" t="s">
        <v>725</v>
      </c>
      <c r="B362" s="5" t="s">
        <v>726</v>
      </c>
      <c r="C362" s="6"/>
      <c r="D362" s="7">
        <v>45407.0</v>
      </c>
      <c r="E362" s="7">
        <v>45876.0</v>
      </c>
      <c r="F362" s="7">
        <v>45876.0</v>
      </c>
    </row>
    <row r="363">
      <c r="A363" s="4" t="s">
        <v>727</v>
      </c>
      <c r="B363" s="5" t="s">
        <v>728</v>
      </c>
      <c r="C363" s="6"/>
      <c r="D363" s="7">
        <v>45407.0</v>
      </c>
      <c r="E363" s="7">
        <v>45512.0</v>
      </c>
      <c r="F363" s="7">
        <v>45512.0</v>
      </c>
    </row>
    <row r="364">
      <c r="A364" s="4" t="s">
        <v>729</v>
      </c>
      <c r="B364" s="5" t="s">
        <v>730</v>
      </c>
      <c r="C364" s="6"/>
      <c r="D364" s="7">
        <v>45407.0</v>
      </c>
      <c r="E364" s="7">
        <v>45876.0</v>
      </c>
      <c r="F364" s="7">
        <v>45876.0</v>
      </c>
    </row>
    <row r="365">
      <c r="A365" s="4" t="s">
        <v>731</v>
      </c>
      <c r="B365" s="5" t="s">
        <v>732</v>
      </c>
      <c r="C365" s="6"/>
      <c r="D365" s="7">
        <v>45407.0</v>
      </c>
      <c r="E365" s="7">
        <v>45785.0</v>
      </c>
      <c r="F365" s="7">
        <v>45785.0</v>
      </c>
    </row>
    <row r="366">
      <c r="A366" s="4" t="s">
        <v>733</v>
      </c>
      <c r="B366" s="5" t="s">
        <v>734</v>
      </c>
      <c r="C366" s="6"/>
      <c r="D366" s="7">
        <v>45407.0</v>
      </c>
      <c r="E366" s="7">
        <v>45876.0</v>
      </c>
      <c r="F366" s="7">
        <v>45876.0</v>
      </c>
    </row>
    <row r="367">
      <c r="A367" s="4" t="s">
        <v>735</v>
      </c>
      <c r="B367" s="5" t="s">
        <v>736</v>
      </c>
      <c r="C367" s="6"/>
      <c r="D367" s="7">
        <v>45407.0</v>
      </c>
      <c r="E367" s="7">
        <v>45874.0</v>
      </c>
      <c r="F367" s="7">
        <v>45874.0</v>
      </c>
    </row>
    <row r="368">
      <c r="A368" s="4" t="s">
        <v>737</v>
      </c>
      <c r="B368" s="5" t="s">
        <v>738</v>
      </c>
      <c r="C368" s="6"/>
      <c r="D368" s="7">
        <v>45407.0</v>
      </c>
      <c r="E368" s="7">
        <v>45874.0</v>
      </c>
      <c r="F368" s="7">
        <v>45874.0</v>
      </c>
    </row>
    <row r="369">
      <c r="A369" s="4" t="s">
        <v>739</v>
      </c>
      <c r="B369" s="5" t="s">
        <v>740</v>
      </c>
      <c r="C369" s="6"/>
      <c r="D369" s="7">
        <v>45407.0</v>
      </c>
      <c r="E369" s="7">
        <v>45874.0</v>
      </c>
      <c r="F369" s="7">
        <v>45874.0</v>
      </c>
    </row>
    <row r="370">
      <c r="A370" s="4" t="s">
        <v>741</v>
      </c>
      <c r="B370" s="5" t="s">
        <v>742</v>
      </c>
      <c r="C370" s="6"/>
      <c r="D370" s="7">
        <v>45042.0</v>
      </c>
      <c r="E370" s="7">
        <v>45874.0</v>
      </c>
      <c r="F370" s="7">
        <v>45874.0</v>
      </c>
    </row>
    <row r="371">
      <c r="A371" s="4" t="s">
        <v>743</v>
      </c>
      <c r="B371" s="5" t="s">
        <v>744</v>
      </c>
      <c r="C371" s="6"/>
      <c r="D371" s="7">
        <v>45042.0</v>
      </c>
      <c r="E371" s="7">
        <v>45510.0</v>
      </c>
      <c r="F371" s="7">
        <v>45510.0</v>
      </c>
    </row>
    <row r="372">
      <c r="A372" s="4" t="s">
        <v>745</v>
      </c>
      <c r="B372" s="5" t="s">
        <v>746</v>
      </c>
      <c r="C372" s="6"/>
      <c r="D372" s="7">
        <v>45408.0</v>
      </c>
      <c r="E372" s="7">
        <v>45863.0</v>
      </c>
      <c r="F372" s="7">
        <v>45863.0</v>
      </c>
    </row>
    <row r="373">
      <c r="A373" s="4" t="s">
        <v>747</v>
      </c>
      <c r="B373" s="5" t="s">
        <v>748</v>
      </c>
      <c r="C373" s="6"/>
      <c r="D373" s="7">
        <v>45408.0</v>
      </c>
      <c r="E373" s="7">
        <v>45883.0</v>
      </c>
      <c r="F373" s="7">
        <v>45883.0</v>
      </c>
    </row>
    <row r="374">
      <c r="A374" s="4" t="s">
        <v>749</v>
      </c>
      <c r="B374" s="5" t="s">
        <v>750</v>
      </c>
      <c r="C374" s="6"/>
      <c r="D374" s="7">
        <v>45408.0</v>
      </c>
      <c r="E374" s="7">
        <v>45869.0</v>
      </c>
      <c r="F374" s="7">
        <v>45869.0</v>
      </c>
    </row>
    <row r="375">
      <c r="A375" s="4" t="s">
        <v>751</v>
      </c>
      <c r="B375" s="5" t="s">
        <v>752</v>
      </c>
      <c r="C375" s="6"/>
      <c r="D375" s="7">
        <v>45408.0</v>
      </c>
      <c r="E375" s="7">
        <v>45873.0</v>
      </c>
      <c r="F375" s="7">
        <v>45873.0</v>
      </c>
    </row>
    <row r="376">
      <c r="A376" s="4" t="s">
        <v>753</v>
      </c>
      <c r="B376" s="5" t="s">
        <v>754</v>
      </c>
      <c r="C376" s="6"/>
      <c r="D376" s="7">
        <v>45408.0</v>
      </c>
      <c r="E376" s="7">
        <v>45505.0</v>
      </c>
      <c r="F376" s="7">
        <v>45505.0</v>
      </c>
    </row>
    <row r="377">
      <c r="A377" s="4" t="s">
        <v>755</v>
      </c>
      <c r="B377" s="5" t="s">
        <v>756</v>
      </c>
      <c r="C377" s="6"/>
      <c r="D377" s="7">
        <v>45408.0</v>
      </c>
      <c r="E377" s="7">
        <v>45869.0</v>
      </c>
      <c r="F377" s="7">
        <v>45869.0</v>
      </c>
    </row>
    <row r="378">
      <c r="A378" s="4" t="s">
        <v>757</v>
      </c>
      <c r="B378" s="5" t="s">
        <v>758</v>
      </c>
      <c r="C378" s="6"/>
      <c r="D378" s="7">
        <v>45408.0</v>
      </c>
      <c r="E378" s="7">
        <v>45876.0</v>
      </c>
      <c r="F378" s="7">
        <v>45876.0</v>
      </c>
    </row>
    <row r="379">
      <c r="A379" s="4" t="s">
        <v>759</v>
      </c>
      <c r="B379" s="5" t="s">
        <v>760</v>
      </c>
      <c r="C379" s="6"/>
      <c r="D379" s="7">
        <v>45408.0</v>
      </c>
      <c r="E379" s="7">
        <v>45889.0</v>
      </c>
      <c r="F379" s="7">
        <v>45889.0</v>
      </c>
    </row>
    <row r="380">
      <c r="A380" s="4" t="s">
        <v>761</v>
      </c>
      <c r="B380" s="5" t="s">
        <v>762</v>
      </c>
      <c r="C380" s="6"/>
      <c r="D380" s="7">
        <v>45408.0</v>
      </c>
      <c r="E380" s="7">
        <v>45876.0</v>
      </c>
      <c r="F380" s="7">
        <v>45876.0</v>
      </c>
    </row>
    <row r="381">
      <c r="A381" s="4" t="s">
        <v>763</v>
      </c>
      <c r="B381" s="5" t="s">
        <v>764</v>
      </c>
      <c r="C381" s="6"/>
      <c r="D381" s="7">
        <v>45408.0</v>
      </c>
      <c r="E381" s="7">
        <v>45868.0</v>
      </c>
      <c r="F381" s="7">
        <v>45868.0</v>
      </c>
    </row>
    <row r="382">
      <c r="A382" s="4" t="s">
        <v>765</v>
      </c>
      <c r="B382" s="5" t="s">
        <v>766</v>
      </c>
      <c r="C382" s="6"/>
      <c r="D382" s="7">
        <v>45408.0</v>
      </c>
      <c r="E382" s="7">
        <v>45868.0</v>
      </c>
      <c r="F382" s="7">
        <v>45868.0</v>
      </c>
    </row>
    <row r="383">
      <c r="A383" s="4" t="s">
        <v>767</v>
      </c>
      <c r="B383" s="5" t="s">
        <v>768</v>
      </c>
      <c r="C383" s="6"/>
      <c r="D383" s="7">
        <v>45408.0</v>
      </c>
      <c r="E383" s="7">
        <v>45866.0</v>
      </c>
      <c r="F383" s="7">
        <v>45866.0</v>
      </c>
    </row>
    <row r="384">
      <c r="A384" s="4" t="s">
        <v>769</v>
      </c>
      <c r="B384" s="5" t="s">
        <v>770</v>
      </c>
      <c r="C384" s="6"/>
      <c r="D384" s="7">
        <v>45408.0</v>
      </c>
      <c r="E384" s="7">
        <v>45867.0</v>
      </c>
      <c r="F384" s="7">
        <v>45867.0</v>
      </c>
    </row>
    <row r="385">
      <c r="A385" s="4" t="s">
        <v>771</v>
      </c>
      <c r="B385" s="5" t="s">
        <v>772</v>
      </c>
      <c r="C385" s="6"/>
      <c r="D385" s="7">
        <v>45408.0</v>
      </c>
      <c r="E385" s="7">
        <v>45867.0</v>
      </c>
      <c r="F385" s="7">
        <v>45867.0</v>
      </c>
    </row>
    <row r="386">
      <c r="A386" s="4" t="s">
        <v>773</v>
      </c>
      <c r="B386" s="5" t="s">
        <v>774</v>
      </c>
      <c r="C386" s="6"/>
      <c r="D386" s="7">
        <v>45408.0</v>
      </c>
      <c r="E386" s="7">
        <v>45860.0</v>
      </c>
      <c r="F386" s="7">
        <v>45860.0</v>
      </c>
    </row>
    <row r="387">
      <c r="A387" s="4" t="s">
        <v>775</v>
      </c>
      <c r="B387" s="5" t="s">
        <v>776</v>
      </c>
      <c r="C387" s="6"/>
      <c r="D387" s="7">
        <v>45408.0</v>
      </c>
      <c r="E387" s="7">
        <v>45503.0</v>
      </c>
      <c r="F387" s="7">
        <v>45503.0</v>
      </c>
    </row>
    <row r="388">
      <c r="A388" s="4" t="s">
        <v>777</v>
      </c>
      <c r="B388" s="5" t="s">
        <v>778</v>
      </c>
      <c r="C388" s="6"/>
      <c r="D388" s="7">
        <v>45043.0</v>
      </c>
      <c r="E388" s="7">
        <v>45502.0</v>
      </c>
      <c r="F388" s="7">
        <v>45502.0</v>
      </c>
    </row>
    <row r="389">
      <c r="A389" s="4" t="s">
        <v>779</v>
      </c>
      <c r="B389" s="5" t="s">
        <v>780</v>
      </c>
      <c r="C389" s="6"/>
      <c r="D389" s="7">
        <v>45044.0</v>
      </c>
      <c r="E389" s="7">
        <v>45867.0</v>
      </c>
      <c r="F389" s="7">
        <v>45867.0</v>
      </c>
    </row>
    <row r="390">
      <c r="A390" s="4" t="s">
        <v>781</v>
      </c>
      <c r="B390" s="5" t="s">
        <v>782</v>
      </c>
      <c r="C390" s="6"/>
      <c r="D390" s="7">
        <v>45411.0</v>
      </c>
      <c r="E390" s="7">
        <v>45869.0</v>
      </c>
      <c r="F390" s="7">
        <v>45869.0</v>
      </c>
    </row>
    <row r="391">
      <c r="A391" s="4" t="s">
        <v>783</v>
      </c>
      <c r="B391" s="5" t="s">
        <v>784</v>
      </c>
      <c r="C391" s="6"/>
      <c r="D391" s="7">
        <v>45411.0</v>
      </c>
      <c r="E391" s="7">
        <v>45862.0</v>
      </c>
      <c r="F391" s="7">
        <v>45862.0</v>
      </c>
    </row>
    <row r="392">
      <c r="A392" s="4" t="s">
        <v>785</v>
      </c>
      <c r="B392" s="5" t="s">
        <v>786</v>
      </c>
      <c r="C392" s="6"/>
      <c r="D392" s="7">
        <v>45411.0</v>
      </c>
      <c r="E392" s="7">
        <v>45862.0</v>
      </c>
      <c r="F392" s="7">
        <v>45862.0</v>
      </c>
    </row>
    <row r="393">
      <c r="A393" s="4" t="s">
        <v>787</v>
      </c>
      <c r="B393" s="5" t="s">
        <v>788</v>
      </c>
      <c r="C393" s="6"/>
      <c r="D393" s="7">
        <v>45411.0</v>
      </c>
      <c r="E393" s="7">
        <v>45862.0</v>
      </c>
      <c r="F393" s="7">
        <v>45862.0</v>
      </c>
    </row>
    <row r="394">
      <c r="A394" s="4" t="s">
        <v>789</v>
      </c>
      <c r="B394" s="5" t="s">
        <v>790</v>
      </c>
      <c r="C394" s="6"/>
      <c r="D394" s="7">
        <v>45411.0</v>
      </c>
      <c r="E394" s="7">
        <v>45862.0</v>
      </c>
      <c r="F394" s="7">
        <v>45862.0</v>
      </c>
    </row>
    <row r="395">
      <c r="A395" s="4" t="s">
        <v>791</v>
      </c>
      <c r="B395" s="5" t="s">
        <v>792</v>
      </c>
      <c r="C395" s="6"/>
      <c r="D395" s="7">
        <v>45411.0</v>
      </c>
      <c r="E395" s="7">
        <v>45862.0</v>
      </c>
      <c r="F395" s="7">
        <v>45862.0</v>
      </c>
    </row>
    <row r="396">
      <c r="A396" s="4" t="s">
        <v>793</v>
      </c>
      <c r="B396" s="5" t="s">
        <v>794</v>
      </c>
      <c r="C396" s="6"/>
      <c r="D396" s="7">
        <v>45411.0</v>
      </c>
      <c r="E396" s="7">
        <v>45833.0</v>
      </c>
      <c r="F396" s="7">
        <v>45833.0</v>
      </c>
    </row>
    <row r="397">
      <c r="A397" s="4" t="s">
        <v>795</v>
      </c>
      <c r="B397" s="5" t="s">
        <v>796</v>
      </c>
      <c r="C397" s="6"/>
      <c r="D397" s="7">
        <v>45411.0</v>
      </c>
      <c r="E397" s="7">
        <v>45867.0</v>
      </c>
      <c r="F397" s="7">
        <v>45867.0</v>
      </c>
    </row>
    <row r="398">
      <c r="A398" s="4" t="s">
        <v>797</v>
      </c>
      <c r="B398" s="5" t="s">
        <v>798</v>
      </c>
      <c r="C398" s="6"/>
      <c r="D398" s="7">
        <v>45411.0</v>
      </c>
      <c r="E398" s="7">
        <v>45834.0</v>
      </c>
      <c r="F398" s="7">
        <v>45834.0</v>
      </c>
    </row>
    <row r="399">
      <c r="A399" s="4" t="s">
        <v>799</v>
      </c>
      <c r="B399" s="5" t="s">
        <v>800</v>
      </c>
      <c r="C399" s="6"/>
      <c r="D399" s="7">
        <v>45411.0</v>
      </c>
      <c r="E399" s="7">
        <v>45861.0</v>
      </c>
      <c r="F399" s="7">
        <v>45861.0</v>
      </c>
    </row>
    <row r="400">
      <c r="A400" s="4" t="s">
        <v>801</v>
      </c>
      <c r="B400" s="5" t="s">
        <v>802</v>
      </c>
      <c r="C400" s="6"/>
      <c r="D400" s="7">
        <v>45411.0</v>
      </c>
      <c r="E400" s="7">
        <v>45860.0</v>
      </c>
      <c r="F400" s="7">
        <v>45860.0</v>
      </c>
    </row>
    <row r="401">
      <c r="A401" s="4" t="s">
        <v>803</v>
      </c>
      <c r="B401" s="5" t="s">
        <v>804</v>
      </c>
      <c r="C401" s="6"/>
      <c r="D401" s="7">
        <v>45411.0</v>
      </c>
      <c r="E401" s="7">
        <v>45860.0</v>
      </c>
      <c r="F401" s="7">
        <v>45860.0</v>
      </c>
    </row>
    <row r="402">
      <c r="A402" s="4" t="s">
        <v>805</v>
      </c>
      <c r="B402" s="5" t="s">
        <v>806</v>
      </c>
      <c r="C402" s="6"/>
      <c r="D402" s="7">
        <v>45412.0</v>
      </c>
      <c r="E402" s="7">
        <v>45884.0</v>
      </c>
      <c r="F402" s="7">
        <v>45884.0</v>
      </c>
    </row>
    <row r="403">
      <c r="A403" s="4" t="s">
        <v>807</v>
      </c>
      <c r="B403" s="5" t="s">
        <v>808</v>
      </c>
      <c r="C403" s="6"/>
      <c r="D403" s="7">
        <v>45412.0</v>
      </c>
      <c r="E403" s="7">
        <v>45862.0</v>
      </c>
      <c r="F403" s="7">
        <v>45862.0</v>
      </c>
    </row>
    <row r="404">
      <c r="A404" s="4" t="s">
        <v>809</v>
      </c>
      <c r="B404" s="5" t="s">
        <v>810</v>
      </c>
      <c r="C404" s="6"/>
      <c r="D404" s="7">
        <v>45412.0</v>
      </c>
      <c r="E404" s="7">
        <v>45828.0</v>
      </c>
      <c r="F404" s="7">
        <v>45828.0</v>
      </c>
    </row>
    <row r="405">
      <c r="A405" s="4" t="s">
        <v>811</v>
      </c>
      <c r="B405" s="5" t="s">
        <v>812</v>
      </c>
      <c r="C405" s="6"/>
      <c r="D405" s="7">
        <v>45412.0</v>
      </c>
      <c r="E405" s="7">
        <v>45868.0</v>
      </c>
      <c r="F405" s="7">
        <v>45868.0</v>
      </c>
    </row>
    <row r="406">
      <c r="A406" s="4" t="s">
        <v>813</v>
      </c>
      <c r="B406" s="5" t="s">
        <v>814</v>
      </c>
      <c r="C406" s="6"/>
      <c r="D406" s="7">
        <v>45412.0</v>
      </c>
      <c r="E406" s="7">
        <v>45855.0</v>
      </c>
      <c r="F406" s="7">
        <v>45855.0</v>
      </c>
    </row>
    <row r="407">
      <c r="A407" s="4" t="s">
        <v>815</v>
      </c>
      <c r="B407" s="5" t="s">
        <v>816</v>
      </c>
      <c r="C407" s="6"/>
      <c r="D407" s="7">
        <v>45412.0</v>
      </c>
      <c r="E407" s="7">
        <v>45855.0</v>
      </c>
      <c r="F407" s="7">
        <v>45855.0</v>
      </c>
    </row>
    <row r="408">
      <c r="A408" s="4" t="s">
        <v>817</v>
      </c>
      <c r="B408" s="5" t="s">
        <v>818</v>
      </c>
      <c r="C408" s="6"/>
      <c r="D408" s="7">
        <v>45412.0</v>
      </c>
      <c r="E408" s="7">
        <v>45855.0</v>
      </c>
      <c r="F408" s="7">
        <v>45855.0</v>
      </c>
    </row>
    <row r="409">
      <c r="A409" s="4" t="s">
        <v>819</v>
      </c>
      <c r="B409" s="5" t="s">
        <v>820</v>
      </c>
      <c r="C409" s="6"/>
      <c r="D409" s="7">
        <v>45412.0</v>
      </c>
      <c r="E409" s="7">
        <v>45860.0</v>
      </c>
      <c r="F409" s="7">
        <v>45860.0</v>
      </c>
    </row>
    <row r="410">
      <c r="A410" s="4" t="s">
        <v>821</v>
      </c>
      <c r="B410" s="5" t="s">
        <v>822</v>
      </c>
      <c r="C410" s="6"/>
      <c r="D410" s="7">
        <v>45412.0</v>
      </c>
      <c r="E410" s="7">
        <v>45853.0</v>
      </c>
      <c r="F410" s="7">
        <v>45853.0</v>
      </c>
    </row>
    <row r="411">
      <c r="A411" s="4" t="s">
        <v>823</v>
      </c>
      <c r="B411" s="5" t="s">
        <v>824</v>
      </c>
      <c r="C411" s="6"/>
      <c r="D411" s="7">
        <v>45412.0</v>
      </c>
      <c r="E411" s="7">
        <v>45833.0</v>
      </c>
      <c r="F411" s="7">
        <v>45833.0</v>
      </c>
    </row>
    <row r="412">
      <c r="A412" s="4" t="s">
        <v>825</v>
      </c>
      <c r="B412" s="5" t="s">
        <v>826</v>
      </c>
      <c r="C412" s="6"/>
      <c r="D412" s="7">
        <v>45412.0</v>
      </c>
      <c r="E412" s="7">
        <v>45826.0</v>
      </c>
      <c r="F412" s="7">
        <v>45826.0</v>
      </c>
    </row>
    <row r="413">
      <c r="A413" s="4" t="s">
        <v>827</v>
      </c>
      <c r="B413" s="5" t="s">
        <v>828</v>
      </c>
      <c r="C413" s="6"/>
      <c r="D413" s="7">
        <v>45412.0</v>
      </c>
      <c r="E413" s="7">
        <v>45785.0</v>
      </c>
      <c r="F413" s="7">
        <v>45785.0</v>
      </c>
    </row>
    <row r="414">
      <c r="A414" s="4" t="s">
        <v>829</v>
      </c>
      <c r="B414" s="5" t="s">
        <v>830</v>
      </c>
      <c r="C414" s="6"/>
      <c r="D414" s="7">
        <v>45412.0</v>
      </c>
      <c r="E414" s="7">
        <v>45855.0</v>
      </c>
      <c r="F414" s="7">
        <v>45855.0</v>
      </c>
    </row>
    <row r="415">
      <c r="A415" s="4" t="s">
        <v>831</v>
      </c>
      <c r="B415" s="5" t="s">
        <v>832</v>
      </c>
      <c r="C415" s="6"/>
      <c r="D415" s="7">
        <v>45412.0</v>
      </c>
      <c r="E415" s="7">
        <v>45834.0</v>
      </c>
      <c r="F415" s="7">
        <v>45834.0</v>
      </c>
    </row>
    <row r="416">
      <c r="A416" s="4" t="s">
        <v>833</v>
      </c>
      <c r="B416" s="5" t="s">
        <v>834</v>
      </c>
      <c r="C416" s="6"/>
      <c r="D416" s="7">
        <v>45412.0</v>
      </c>
      <c r="E416" s="7">
        <v>45799.0</v>
      </c>
      <c r="F416" s="7">
        <v>45799.0</v>
      </c>
    </row>
    <row r="417">
      <c r="A417" s="4" t="s">
        <v>835</v>
      </c>
      <c r="B417" s="5" t="s">
        <v>836</v>
      </c>
      <c r="C417" s="6"/>
      <c r="D417" s="7">
        <v>45412.0</v>
      </c>
      <c r="E417" s="7">
        <v>45848.0</v>
      </c>
      <c r="F417" s="7">
        <v>45848.0</v>
      </c>
    </row>
    <row r="418">
      <c r="A418" s="4" t="s">
        <v>837</v>
      </c>
      <c r="B418" s="5" t="s">
        <v>838</v>
      </c>
      <c r="C418" s="6"/>
      <c r="D418" s="7">
        <v>45412.0</v>
      </c>
      <c r="E418" s="7">
        <v>45827.0</v>
      </c>
      <c r="F418" s="7">
        <v>45827.0</v>
      </c>
    </row>
    <row r="419">
      <c r="A419" s="4" t="s">
        <v>839</v>
      </c>
      <c r="B419" s="5" t="s">
        <v>840</v>
      </c>
      <c r="C419" s="6"/>
      <c r="D419" s="7">
        <v>45412.0</v>
      </c>
      <c r="E419" s="7">
        <v>45847.0</v>
      </c>
      <c r="F419" s="7">
        <v>45847.0</v>
      </c>
    </row>
    <row r="420">
      <c r="A420" s="4" t="s">
        <v>841</v>
      </c>
      <c r="B420" s="5" t="s">
        <v>842</v>
      </c>
      <c r="C420" s="6"/>
      <c r="D420" s="7">
        <v>45412.0</v>
      </c>
      <c r="E420" s="7">
        <v>45846.0</v>
      </c>
      <c r="F420" s="7">
        <v>45846.0</v>
      </c>
    </row>
    <row r="421">
      <c r="A421" s="4" t="s">
        <v>843</v>
      </c>
      <c r="B421" s="5" t="s">
        <v>844</v>
      </c>
      <c r="C421" s="6"/>
      <c r="D421" s="7">
        <v>45412.0</v>
      </c>
      <c r="E421" s="7">
        <v>45846.0</v>
      </c>
      <c r="F421" s="7">
        <v>45846.0</v>
      </c>
    </row>
    <row r="422">
      <c r="A422" s="4" t="s">
        <v>845</v>
      </c>
      <c r="B422" s="5" t="s">
        <v>846</v>
      </c>
      <c r="C422" s="6"/>
      <c r="D422" s="7">
        <v>45412.0</v>
      </c>
      <c r="E422" s="7">
        <v>45828.0</v>
      </c>
      <c r="F422" s="7">
        <v>45828.0</v>
      </c>
    </row>
    <row r="423">
      <c r="A423" s="4" t="s">
        <v>847</v>
      </c>
      <c r="B423" s="5" t="s">
        <v>848</v>
      </c>
      <c r="C423" s="6"/>
      <c r="D423" s="7">
        <v>45412.0</v>
      </c>
      <c r="E423" s="7">
        <v>45834.0</v>
      </c>
      <c r="F423" s="7">
        <v>45834.0</v>
      </c>
    </row>
    <row r="424">
      <c r="A424" s="4" t="s">
        <v>849</v>
      </c>
      <c r="B424" s="5" t="s">
        <v>850</v>
      </c>
      <c r="C424" s="6"/>
      <c r="D424" s="7">
        <v>45412.0</v>
      </c>
      <c r="E424" s="7">
        <v>45840.0</v>
      </c>
      <c r="F424" s="7">
        <v>45840.0</v>
      </c>
    </row>
    <row r="425">
      <c r="A425" s="4" t="s">
        <v>851</v>
      </c>
      <c r="B425" s="5" t="s">
        <v>852</v>
      </c>
      <c r="C425" s="6"/>
      <c r="D425" s="7">
        <v>45412.0</v>
      </c>
      <c r="E425" s="7">
        <v>45835.0</v>
      </c>
      <c r="F425" s="7">
        <v>45835.0</v>
      </c>
    </row>
    <row r="426">
      <c r="A426" s="4" t="s">
        <v>853</v>
      </c>
      <c r="B426" s="5" t="s">
        <v>854</v>
      </c>
      <c r="C426" s="6"/>
      <c r="D426" s="7">
        <v>45412.0</v>
      </c>
      <c r="E426" s="7">
        <v>45812.0</v>
      </c>
      <c r="F426" s="7">
        <v>45812.0</v>
      </c>
    </row>
    <row r="427">
      <c r="A427" s="4" t="s">
        <v>855</v>
      </c>
      <c r="B427" s="5" t="s">
        <v>856</v>
      </c>
      <c r="C427" s="6"/>
      <c r="D427" s="7">
        <v>45412.0</v>
      </c>
      <c r="E427" s="7">
        <v>45839.0</v>
      </c>
      <c r="F427" s="7">
        <v>45839.0</v>
      </c>
    </row>
    <row r="428">
      <c r="A428" s="4" t="s">
        <v>857</v>
      </c>
      <c r="B428" s="5" t="s">
        <v>858</v>
      </c>
      <c r="C428" s="6"/>
      <c r="D428" s="7">
        <v>45412.0</v>
      </c>
      <c r="E428" s="7">
        <v>45818.0</v>
      </c>
      <c r="F428" s="7">
        <v>45818.0</v>
      </c>
    </row>
    <row r="429">
      <c r="A429" s="4" t="s">
        <v>859</v>
      </c>
      <c r="B429" s="5" t="s">
        <v>860</v>
      </c>
      <c r="C429" s="6"/>
      <c r="D429" s="7">
        <v>45412.0</v>
      </c>
      <c r="E429" s="7">
        <v>45866.0</v>
      </c>
      <c r="F429" s="7">
        <v>45866.0</v>
      </c>
    </row>
    <row r="430">
      <c r="A430" s="4" t="s">
        <v>861</v>
      </c>
      <c r="B430" s="5" t="s">
        <v>862</v>
      </c>
      <c r="C430" s="6"/>
      <c r="D430" s="7">
        <v>45412.0</v>
      </c>
      <c r="E430" s="7">
        <v>45813.0</v>
      </c>
      <c r="F430" s="7">
        <v>45813.0</v>
      </c>
    </row>
    <row r="431">
      <c r="A431" s="4" t="s">
        <v>863</v>
      </c>
      <c r="B431" s="5" t="s">
        <v>864</v>
      </c>
      <c r="C431" s="6"/>
      <c r="D431" s="7">
        <v>45413.0</v>
      </c>
      <c r="E431" s="7">
        <v>45813.0</v>
      </c>
      <c r="F431" s="7">
        <v>45813.0</v>
      </c>
    </row>
    <row r="432">
      <c r="A432" s="4" t="s">
        <v>865</v>
      </c>
      <c r="B432" s="5" t="s">
        <v>866</v>
      </c>
      <c r="C432" s="6"/>
      <c r="D432" s="7">
        <v>45413.0</v>
      </c>
      <c r="E432" s="7">
        <v>45834.0</v>
      </c>
      <c r="F432" s="7">
        <v>45834.0</v>
      </c>
    </row>
    <row r="433">
      <c r="A433" s="4" t="s">
        <v>867</v>
      </c>
      <c r="B433" s="5" t="s">
        <v>868</v>
      </c>
      <c r="C433" s="6"/>
      <c r="D433" s="7">
        <v>45413.0</v>
      </c>
      <c r="E433" s="7">
        <v>45834.0</v>
      </c>
      <c r="F433" s="7">
        <v>45834.0</v>
      </c>
    </row>
    <row r="434">
      <c r="A434" s="4" t="s">
        <v>869</v>
      </c>
      <c r="B434" s="5" t="s">
        <v>870</v>
      </c>
      <c r="C434" s="6"/>
      <c r="D434" s="7">
        <v>45413.0</v>
      </c>
      <c r="E434" s="7">
        <v>45834.0</v>
      </c>
      <c r="F434" s="7">
        <v>45834.0</v>
      </c>
    </row>
    <row r="435">
      <c r="A435" s="4" t="s">
        <v>871</v>
      </c>
      <c r="B435" s="5" t="s">
        <v>872</v>
      </c>
      <c r="C435" s="6"/>
      <c r="D435" s="7">
        <v>45413.0</v>
      </c>
      <c r="E435" s="7">
        <v>45834.0</v>
      </c>
      <c r="F435" s="7">
        <v>45834.0</v>
      </c>
    </row>
    <row r="436">
      <c r="A436" s="4" t="s">
        <v>873</v>
      </c>
      <c r="B436" s="5" t="s">
        <v>874</v>
      </c>
      <c r="C436" s="6"/>
      <c r="D436" s="7">
        <v>45413.0</v>
      </c>
      <c r="E436" s="7">
        <v>45833.0</v>
      </c>
      <c r="F436" s="7">
        <v>45833.0</v>
      </c>
    </row>
    <row r="437">
      <c r="A437" s="4" t="s">
        <v>875</v>
      </c>
      <c r="B437" s="5" t="s">
        <v>876</v>
      </c>
      <c r="C437" s="6"/>
      <c r="D437" s="7">
        <v>45413.0</v>
      </c>
      <c r="E437" s="7">
        <v>45834.0</v>
      </c>
      <c r="F437" s="7">
        <v>45834.0</v>
      </c>
    </row>
    <row r="438">
      <c r="A438" s="4" t="s">
        <v>877</v>
      </c>
      <c r="B438" s="5" t="s">
        <v>878</v>
      </c>
      <c r="C438" s="6"/>
      <c r="D438" s="7">
        <v>45413.0</v>
      </c>
      <c r="E438" s="7">
        <v>45799.0</v>
      </c>
      <c r="F438" s="7">
        <v>45799.0</v>
      </c>
    </row>
    <row r="439">
      <c r="A439" s="4" t="s">
        <v>879</v>
      </c>
      <c r="B439" s="5" t="s">
        <v>880</v>
      </c>
      <c r="C439" s="6"/>
      <c r="D439" s="7">
        <v>45413.0</v>
      </c>
      <c r="E439" s="7">
        <v>45833.0</v>
      </c>
      <c r="F439" s="7">
        <v>45833.0</v>
      </c>
    </row>
    <row r="440">
      <c r="A440" s="4" t="s">
        <v>881</v>
      </c>
      <c r="B440" s="5" t="s">
        <v>882</v>
      </c>
      <c r="C440" s="6"/>
      <c r="D440" s="7">
        <v>45413.0</v>
      </c>
      <c r="E440" s="7">
        <v>45834.0</v>
      </c>
      <c r="F440" s="7">
        <v>45834.0</v>
      </c>
    </row>
    <row r="441">
      <c r="A441" s="4" t="s">
        <v>883</v>
      </c>
      <c r="B441" s="5" t="s">
        <v>884</v>
      </c>
      <c r="C441" s="6"/>
      <c r="D441" s="7">
        <v>45413.0</v>
      </c>
      <c r="E441" s="7">
        <v>45470.0</v>
      </c>
      <c r="F441" s="7">
        <v>45470.0</v>
      </c>
    </row>
    <row r="442">
      <c r="A442" s="4" t="s">
        <v>885</v>
      </c>
      <c r="B442" s="5" t="s">
        <v>886</v>
      </c>
      <c r="C442" s="6"/>
      <c r="D442" s="7">
        <v>45413.0</v>
      </c>
      <c r="E442" s="7">
        <v>45820.0</v>
      </c>
      <c r="F442" s="7">
        <v>45820.0</v>
      </c>
    </row>
    <row r="443">
      <c r="A443" s="4" t="s">
        <v>887</v>
      </c>
      <c r="B443" s="5" t="s">
        <v>888</v>
      </c>
      <c r="C443" s="6"/>
      <c r="D443" s="7">
        <v>45413.0</v>
      </c>
      <c r="E443" s="7">
        <v>45470.0</v>
      </c>
      <c r="F443" s="7">
        <v>45470.0</v>
      </c>
    </row>
    <row r="444">
      <c r="A444" s="4" t="s">
        <v>889</v>
      </c>
      <c r="B444" s="5" t="s">
        <v>890</v>
      </c>
      <c r="C444" s="6"/>
      <c r="D444" s="7">
        <v>45413.0</v>
      </c>
      <c r="E444" s="7">
        <v>45826.0</v>
      </c>
      <c r="F444" s="7">
        <v>45826.0</v>
      </c>
    </row>
    <row r="445">
      <c r="A445" s="4" t="s">
        <v>891</v>
      </c>
      <c r="B445" s="5" t="s">
        <v>892</v>
      </c>
      <c r="C445" s="6"/>
      <c r="D445" s="7">
        <v>45413.0</v>
      </c>
      <c r="E445" s="7">
        <v>45834.0</v>
      </c>
      <c r="F445" s="7">
        <v>45834.0</v>
      </c>
    </row>
    <row r="446">
      <c r="A446" s="4" t="s">
        <v>893</v>
      </c>
      <c r="B446" s="5" t="s">
        <v>894</v>
      </c>
      <c r="C446" s="6"/>
      <c r="D446" s="7">
        <v>45413.0</v>
      </c>
      <c r="E446" s="7">
        <v>45833.0</v>
      </c>
      <c r="F446" s="7">
        <v>45833.0</v>
      </c>
    </row>
    <row r="447">
      <c r="A447" s="4" t="s">
        <v>895</v>
      </c>
      <c r="B447" s="5" t="s">
        <v>896</v>
      </c>
      <c r="C447" s="6"/>
      <c r="D447" s="7">
        <v>45413.0</v>
      </c>
      <c r="E447" s="7">
        <v>45833.0</v>
      </c>
      <c r="F447" s="7">
        <v>45833.0</v>
      </c>
    </row>
    <row r="448">
      <c r="A448" s="4" t="s">
        <v>897</v>
      </c>
      <c r="B448" s="5" t="s">
        <v>898</v>
      </c>
      <c r="C448" s="6"/>
      <c r="D448" s="7">
        <v>45413.0</v>
      </c>
      <c r="E448" s="7">
        <v>45834.0</v>
      </c>
      <c r="F448" s="7">
        <v>45834.0</v>
      </c>
    </row>
    <row r="449">
      <c r="A449" s="4" t="s">
        <v>899</v>
      </c>
      <c r="B449" s="5" t="s">
        <v>900</v>
      </c>
      <c r="C449" s="6"/>
      <c r="D449" s="7">
        <v>45413.0</v>
      </c>
      <c r="E449" s="7">
        <v>45832.0</v>
      </c>
      <c r="F449" s="7">
        <v>45832.0</v>
      </c>
    </row>
    <row r="450">
      <c r="A450" s="4" t="s">
        <v>901</v>
      </c>
      <c r="B450" s="5" t="s">
        <v>902</v>
      </c>
      <c r="C450" s="6"/>
      <c r="D450" s="7">
        <v>45413.0</v>
      </c>
      <c r="E450" s="7">
        <v>45834.0</v>
      </c>
      <c r="F450" s="7">
        <v>45834.0</v>
      </c>
    </row>
    <row r="451">
      <c r="A451" s="4" t="s">
        <v>903</v>
      </c>
      <c r="B451" s="5" t="s">
        <v>904</v>
      </c>
      <c r="C451" s="6"/>
      <c r="D451" s="7">
        <v>45413.0</v>
      </c>
      <c r="E451" s="7">
        <v>45819.0</v>
      </c>
      <c r="F451" s="7">
        <v>45819.0</v>
      </c>
    </row>
    <row r="452">
      <c r="A452" s="4" t="s">
        <v>905</v>
      </c>
      <c r="B452" s="5" t="s">
        <v>906</v>
      </c>
      <c r="C452" s="6"/>
      <c r="D452" s="7">
        <v>45413.0</v>
      </c>
      <c r="E452" s="7">
        <v>45833.0</v>
      </c>
      <c r="F452" s="7">
        <v>45833.0</v>
      </c>
    </row>
    <row r="453">
      <c r="A453" s="4" t="s">
        <v>907</v>
      </c>
      <c r="B453" s="5" t="s">
        <v>908</v>
      </c>
      <c r="C453" s="6"/>
      <c r="D453" s="7">
        <v>45413.0</v>
      </c>
      <c r="E453" s="7">
        <v>45820.0</v>
      </c>
      <c r="F453" s="7">
        <v>45820.0</v>
      </c>
    </row>
    <row r="454">
      <c r="A454" s="4" t="s">
        <v>909</v>
      </c>
      <c r="B454" s="5" t="s">
        <v>910</v>
      </c>
      <c r="C454" s="6"/>
      <c r="D454" s="7">
        <v>45413.0</v>
      </c>
      <c r="E454" s="7">
        <v>45834.0</v>
      </c>
      <c r="F454" s="7">
        <v>45834.0</v>
      </c>
    </row>
    <row r="455">
      <c r="A455" s="4" t="s">
        <v>911</v>
      </c>
      <c r="B455" s="5" t="s">
        <v>912</v>
      </c>
      <c r="C455" s="6"/>
      <c r="D455" s="7">
        <v>45413.0</v>
      </c>
      <c r="E455" s="7">
        <v>45834.0</v>
      </c>
      <c r="F455" s="7">
        <v>45834.0</v>
      </c>
    </row>
    <row r="456">
      <c r="A456" s="4" t="s">
        <v>913</v>
      </c>
      <c r="B456" s="5" t="s">
        <v>914</v>
      </c>
      <c r="C456" s="6"/>
      <c r="D456" s="7">
        <v>45413.0</v>
      </c>
      <c r="E456" s="7">
        <v>45811.0</v>
      </c>
      <c r="F456" s="7">
        <v>45811.0</v>
      </c>
    </row>
    <row r="457">
      <c r="A457" s="4" t="s">
        <v>915</v>
      </c>
      <c r="B457" s="5" t="s">
        <v>916</v>
      </c>
      <c r="C457" s="6"/>
      <c r="D457" s="7">
        <v>45413.0</v>
      </c>
      <c r="E457" s="7">
        <v>45838.0</v>
      </c>
      <c r="F457" s="7">
        <v>45838.0</v>
      </c>
    </row>
    <row r="458">
      <c r="A458" s="4" t="s">
        <v>917</v>
      </c>
      <c r="B458" s="5" t="s">
        <v>918</v>
      </c>
      <c r="C458" s="6"/>
      <c r="D458" s="7">
        <v>45413.0</v>
      </c>
      <c r="E458" s="7">
        <v>45832.0</v>
      </c>
      <c r="F458" s="7">
        <v>45832.0</v>
      </c>
    </row>
    <row r="459">
      <c r="A459" s="4" t="s">
        <v>919</v>
      </c>
      <c r="B459" s="5" t="s">
        <v>920</v>
      </c>
      <c r="C459" s="6"/>
      <c r="D459" s="7">
        <v>45413.0</v>
      </c>
      <c r="E459" s="7">
        <v>45828.0</v>
      </c>
      <c r="F459" s="7">
        <v>45828.0</v>
      </c>
    </row>
    <row r="460">
      <c r="A460" s="4" t="s">
        <v>921</v>
      </c>
      <c r="B460" s="5" t="s">
        <v>922</v>
      </c>
      <c r="C460" s="6"/>
      <c r="D460" s="7">
        <v>45413.0</v>
      </c>
      <c r="E460" s="7">
        <v>45468.0</v>
      </c>
      <c r="F460" s="7">
        <v>45468.0</v>
      </c>
    </row>
    <row r="461">
      <c r="A461" s="4" t="s">
        <v>923</v>
      </c>
      <c r="B461" s="5" t="s">
        <v>924</v>
      </c>
      <c r="C461" s="6"/>
      <c r="D461" s="7">
        <v>45413.0</v>
      </c>
      <c r="E461" s="7">
        <v>45832.0</v>
      </c>
      <c r="F461" s="7">
        <v>45832.0</v>
      </c>
    </row>
    <row r="462">
      <c r="A462" s="4" t="s">
        <v>925</v>
      </c>
      <c r="B462" s="5" t="s">
        <v>926</v>
      </c>
      <c r="C462" s="6"/>
      <c r="D462" s="7">
        <v>45413.0</v>
      </c>
      <c r="E462" s="7">
        <v>45813.0</v>
      </c>
      <c r="F462" s="7">
        <v>45813.0</v>
      </c>
    </row>
    <row r="463">
      <c r="A463" s="4" t="s">
        <v>927</v>
      </c>
      <c r="B463" s="5" t="s">
        <v>928</v>
      </c>
      <c r="C463" s="6"/>
      <c r="D463" s="7">
        <v>45413.0</v>
      </c>
      <c r="E463" s="7">
        <v>45833.0</v>
      </c>
      <c r="F463" s="7">
        <v>45833.0</v>
      </c>
    </row>
    <row r="464">
      <c r="A464" s="4" t="s">
        <v>929</v>
      </c>
      <c r="B464" s="5" t="s">
        <v>930</v>
      </c>
      <c r="C464" s="6"/>
      <c r="D464" s="7">
        <v>45413.0</v>
      </c>
      <c r="E464" s="7">
        <v>45814.0</v>
      </c>
      <c r="F464" s="7">
        <v>45814.0</v>
      </c>
    </row>
    <row r="465">
      <c r="A465" s="4" t="s">
        <v>931</v>
      </c>
      <c r="B465" s="5" t="s">
        <v>932</v>
      </c>
      <c r="C465" s="6"/>
      <c r="D465" s="7">
        <v>45413.0</v>
      </c>
      <c r="E465" s="7">
        <v>45824.0</v>
      </c>
      <c r="F465" s="7">
        <v>45824.0</v>
      </c>
    </row>
    <row r="466">
      <c r="A466" s="4" t="s">
        <v>933</v>
      </c>
      <c r="B466" s="5" t="s">
        <v>934</v>
      </c>
      <c r="C466" s="6"/>
      <c r="D466" s="7">
        <v>45413.0</v>
      </c>
      <c r="E466" s="7">
        <v>45820.0</v>
      </c>
      <c r="F466" s="7">
        <v>45820.0</v>
      </c>
    </row>
    <row r="467">
      <c r="A467" s="4" t="s">
        <v>935</v>
      </c>
      <c r="B467" s="5" t="s">
        <v>936</v>
      </c>
      <c r="C467" s="6"/>
      <c r="D467" s="7">
        <v>45413.0</v>
      </c>
      <c r="E467" s="7">
        <v>45826.0</v>
      </c>
      <c r="F467" s="7">
        <v>45826.0</v>
      </c>
    </row>
    <row r="468">
      <c r="A468" s="4" t="s">
        <v>937</v>
      </c>
      <c r="B468" s="5" t="s">
        <v>938</v>
      </c>
      <c r="C468" s="6"/>
      <c r="D468" s="7">
        <v>45413.0</v>
      </c>
      <c r="E468" s="7">
        <v>45828.0</v>
      </c>
      <c r="F468" s="7">
        <v>45828.0</v>
      </c>
    </row>
    <row r="469">
      <c r="A469" s="4" t="s">
        <v>939</v>
      </c>
      <c r="B469" s="5" t="s">
        <v>940</v>
      </c>
      <c r="C469" s="6"/>
      <c r="D469" s="7">
        <v>45413.0</v>
      </c>
      <c r="E469" s="7">
        <v>45835.0</v>
      </c>
      <c r="F469" s="7">
        <v>45835.0</v>
      </c>
    </row>
    <row r="470">
      <c r="A470" s="4" t="s">
        <v>941</v>
      </c>
      <c r="B470" s="5" t="s">
        <v>942</v>
      </c>
      <c r="C470" s="6"/>
      <c r="D470" s="7">
        <v>45413.0</v>
      </c>
      <c r="E470" s="7">
        <v>45835.0</v>
      </c>
      <c r="F470" s="7">
        <v>45835.0</v>
      </c>
    </row>
    <row r="471">
      <c r="A471" s="4" t="s">
        <v>943</v>
      </c>
      <c r="B471" s="5" t="s">
        <v>944</v>
      </c>
      <c r="C471" s="6"/>
      <c r="D471" s="7">
        <v>45413.0</v>
      </c>
      <c r="E471" s="7">
        <v>45826.0</v>
      </c>
      <c r="F471" s="7">
        <v>45826.0</v>
      </c>
    </row>
    <row r="472">
      <c r="A472" s="4" t="s">
        <v>945</v>
      </c>
      <c r="B472" s="5" t="s">
        <v>946</v>
      </c>
      <c r="C472" s="6"/>
      <c r="D472" s="7">
        <v>45413.0</v>
      </c>
      <c r="E472" s="7">
        <v>45828.0</v>
      </c>
      <c r="F472" s="7">
        <v>45828.0</v>
      </c>
    </row>
    <row r="473">
      <c r="A473" s="4" t="s">
        <v>947</v>
      </c>
      <c r="B473" s="5" t="s">
        <v>948</v>
      </c>
      <c r="C473" s="6"/>
      <c r="D473" s="7">
        <v>45413.0</v>
      </c>
      <c r="E473" s="7">
        <v>45828.0</v>
      </c>
      <c r="F473" s="7">
        <v>45828.0</v>
      </c>
    </row>
    <row r="474">
      <c r="A474" s="4" t="s">
        <v>949</v>
      </c>
      <c r="B474" s="5" t="s">
        <v>950</v>
      </c>
      <c r="C474" s="6"/>
      <c r="D474" s="7">
        <v>45413.0</v>
      </c>
      <c r="E474" s="7">
        <v>45826.0</v>
      </c>
      <c r="F474" s="7">
        <v>45826.0</v>
      </c>
    </row>
    <row r="475">
      <c r="A475" s="4" t="s">
        <v>951</v>
      </c>
      <c r="B475" s="5" t="s">
        <v>952</v>
      </c>
      <c r="C475" s="6"/>
      <c r="D475" s="7">
        <v>45413.0</v>
      </c>
      <c r="E475" s="7">
        <v>45800.0</v>
      </c>
      <c r="F475" s="7">
        <v>45800.0</v>
      </c>
    </row>
    <row r="476">
      <c r="A476" s="4" t="s">
        <v>953</v>
      </c>
      <c r="B476" s="5" t="s">
        <v>954</v>
      </c>
      <c r="C476" s="6"/>
      <c r="D476" s="7">
        <v>45048.0</v>
      </c>
      <c r="E476" s="7">
        <v>45828.0</v>
      </c>
      <c r="F476" s="7">
        <v>45828.0</v>
      </c>
    </row>
    <row r="477">
      <c r="A477" s="4" t="s">
        <v>955</v>
      </c>
      <c r="B477" s="5" t="s">
        <v>956</v>
      </c>
      <c r="C477" s="6"/>
      <c r="D477" s="7">
        <v>45414.0</v>
      </c>
      <c r="E477" s="7">
        <v>45464.0</v>
      </c>
      <c r="F477" s="7">
        <v>45464.0</v>
      </c>
    </row>
    <row r="478">
      <c r="A478" s="4" t="s">
        <v>957</v>
      </c>
      <c r="B478" s="5" t="s">
        <v>958</v>
      </c>
      <c r="C478" s="6"/>
      <c r="D478" s="7">
        <v>45414.0</v>
      </c>
      <c r="E478" s="7">
        <v>45828.0</v>
      </c>
      <c r="F478" s="7">
        <v>45828.0</v>
      </c>
    </row>
    <row r="479">
      <c r="A479" s="4" t="s">
        <v>959</v>
      </c>
      <c r="B479" s="5" t="s">
        <v>960</v>
      </c>
      <c r="C479" s="6"/>
      <c r="D479" s="7">
        <v>45414.0</v>
      </c>
      <c r="E479" s="7">
        <v>45828.0</v>
      </c>
      <c r="F479" s="7">
        <v>45828.0</v>
      </c>
    </row>
    <row r="480">
      <c r="A480" s="4" t="s">
        <v>961</v>
      </c>
      <c r="B480" s="5" t="s">
        <v>962</v>
      </c>
      <c r="C480" s="6"/>
      <c r="D480" s="7">
        <v>45414.0</v>
      </c>
      <c r="E480" s="7">
        <v>45825.0</v>
      </c>
      <c r="F480" s="7">
        <v>45825.0</v>
      </c>
    </row>
    <row r="481">
      <c r="A481" s="4" t="s">
        <v>963</v>
      </c>
      <c r="B481" s="5" t="s">
        <v>964</v>
      </c>
      <c r="C481" s="6"/>
      <c r="D481" s="7">
        <v>45414.0</v>
      </c>
      <c r="E481" s="7">
        <v>45464.0</v>
      </c>
      <c r="F481" s="7">
        <v>45464.0</v>
      </c>
    </row>
    <row r="482">
      <c r="A482" s="4" t="s">
        <v>965</v>
      </c>
      <c r="B482" s="5" t="s">
        <v>966</v>
      </c>
      <c r="C482" s="6"/>
      <c r="D482" s="7">
        <v>45414.0</v>
      </c>
      <c r="E482" s="7">
        <v>45821.0</v>
      </c>
      <c r="F482" s="7">
        <v>45821.0</v>
      </c>
    </row>
    <row r="483">
      <c r="A483" s="4" t="s">
        <v>967</v>
      </c>
      <c r="B483" s="5" t="s">
        <v>968</v>
      </c>
      <c r="C483" s="6"/>
      <c r="D483" s="7">
        <v>45414.0</v>
      </c>
      <c r="E483" s="7">
        <v>45832.0</v>
      </c>
      <c r="F483" s="7">
        <v>45832.0</v>
      </c>
    </row>
    <row r="484">
      <c r="A484" s="4" t="s">
        <v>969</v>
      </c>
      <c r="B484" s="5" t="s">
        <v>970</v>
      </c>
      <c r="C484" s="6"/>
      <c r="D484" s="7">
        <v>45414.0</v>
      </c>
      <c r="E484" s="7">
        <v>45827.0</v>
      </c>
      <c r="F484" s="7">
        <v>45827.0</v>
      </c>
    </row>
    <row r="485">
      <c r="A485" s="4" t="s">
        <v>971</v>
      </c>
      <c r="B485" s="5" t="s">
        <v>972</v>
      </c>
      <c r="C485" s="6"/>
      <c r="D485" s="7">
        <v>45414.0</v>
      </c>
      <c r="E485" s="7">
        <v>45833.0</v>
      </c>
      <c r="F485" s="7">
        <v>45833.0</v>
      </c>
    </row>
    <row r="486">
      <c r="A486" s="4" t="s">
        <v>973</v>
      </c>
      <c r="B486" s="5" t="s">
        <v>974</v>
      </c>
      <c r="C486" s="6"/>
      <c r="D486" s="7">
        <v>45414.0</v>
      </c>
      <c r="E486" s="7">
        <v>45834.0</v>
      </c>
      <c r="F486" s="7">
        <v>45834.0</v>
      </c>
    </row>
    <row r="487">
      <c r="A487" s="4" t="s">
        <v>975</v>
      </c>
      <c r="B487" s="5" t="s">
        <v>976</v>
      </c>
      <c r="C487" s="6"/>
      <c r="D487" s="7">
        <v>45414.0</v>
      </c>
      <c r="E487" s="7">
        <v>45825.0</v>
      </c>
      <c r="F487" s="7">
        <v>45825.0</v>
      </c>
    </row>
    <row r="488">
      <c r="A488" s="4" t="s">
        <v>977</v>
      </c>
      <c r="B488" s="5" t="s">
        <v>978</v>
      </c>
      <c r="C488" s="6"/>
      <c r="D488" s="7">
        <v>45414.0</v>
      </c>
      <c r="E488" s="7">
        <v>45827.0</v>
      </c>
      <c r="F488" s="7">
        <v>45827.0</v>
      </c>
    </row>
    <row r="489">
      <c r="A489" s="4" t="s">
        <v>979</v>
      </c>
      <c r="B489" s="5" t="s">
        <v>980</v>
      </c>
      <c r="C489" s="6"/>
      <c r="D489" s="7">
        <v>45414.0</v>
      </c>
      <c r="E489" s="7">
        <v>45832.0</v>
      </c>
      <c r="F489" s="7">
        <v>45832.0</v>
      </c>
    </row>
    <row r="490">
      <c r="A490" s="4" t="s">
        <v>981</v>
      </c>
      <c r="B490" s="5" t="s">
        <v>982</v>
      </c>
      <c r="C490" s="6"/>
      <c r="D490" s="7">
        <v>45414.0</v>
      </c>
      <c r="E490" s="7">
        <v>45827.0</v>
      </c>
      <c r="F490" s="7">
        <v>45827.0</v>
      </c>
    </row>
    <row r="491">
      <c r="A491" s="4" t="s">
        <v>983</v>
      </c>
      <c r="B491" s="5" t="s">
        <v>984</v>
      </c>
      <c r="C491" s="6"/>
      <c r="D491" s="7">
        <v>45414.0</v>
      </c>
      <c r="E491" s="7">
        <v>45828.0</v>
      </c>
      <c r="F491" s="7">
        <v>45828.0</v>
      </c>
    </row>
    <row r="492">
      <c r="A492" s="4" t="s">
        <v>985</v>
      </c>
      <c r="B492" s="5" t="s">
        <v>986</v>
      </c>
      <c r="C492" s="6"/>
      <c r="D492" s="7">
        <v>45414.0</v>
      </c>
      <c r="E492" s="7">
        <v>45826.0</v>
      </c>
      <c r="F492" s="7">
        <v>45826.0</v>
      </c>
    </row>
    <row r="493">
      <c r="A493" s="4" t="s">
        <v>987</v>
      </c>
      <c r="B493" s="5" t="s">
        <v>988</v>
      </c>
      <c r="C493" s="6"/>
      <c r="D493" s="7">
        <v>45414.0</v>
      </c>
      <c r="E493" s="7">
        <v>45825.0</v>
      </c>
      <c r="F493" s="7">
        <v>45825.0</v>
      </c>
    </row>
    <row r="494">
      <c r="A494" s="4" t="s">
        <v>989</v>
      </c>
      <c r="B494" s="5" t="s">
        <v>990</v>
      </c>
      <c r="C494" s="6"/>
      <c r="D494" s="7">
        <v>45414.0</v>
      </c>
      <c r="E494" s="7">
        <v>45834.0</v>
      </c>
      <c r="F494" s="7">
        <v>45834.0</v>
      </c>
    </row>
    <row r="495">
      <c r="A495" s="4" t="s">
        <v>991</v>
      </c>
      <c r="B495" s="5" t="s">
        <v>992</v>
      </c>
      <c r="C495" s="6"/>
      <c r="D495" s="7">
        <v>45414.0</v>
      </c>
      <c r="E495" s="7">
        <v>45834.0</v>
      </c>
      <c r="F495" s="7">
        <v>45834.0</v>
      </c>
    </row>
    <row r="496">
      <c r="A496" s="4" t="s">
        <v>993</v>
      </c>
      <c r="B496" s="5" t="s">
        <v>994</v>
      </c>
      <c r="C496" s="6"/>
      <c r="D496" s="7">
        <v>45414.0</v>
      </c>
      <c r="E496" s="7">
        <v>45826.0</v>
      </c>
      <c r="F496" s="7">
        <v>45826.0</v>
      </c>
    </row>
    <row r="497">
      <c r="A497" s="4" t="s">
        <v>995</v>
      </c>
      <c r="B497" s="5" t="s">
        <v>996</v>
      </c>
      <c r="C497" s="6"/>
      <c r="D497" s="7">
        <v>45414.0</v>
      </c>
      <c r="E497" s="7">
        <v>45826.0</v>
      </c>
      <c r="F497" s="7">
        <v>45826.0</v>
      </c>
    </row>
    <row r="498">
      <c r="A498" s="4" t="s">
        <v>997</v>
      </c>
      <c r="B498" s="5" t="s">
        <v>998</v>
      </c>
      <c r="C498" s="6"/>
      <c r="D498" s="7">
        <v>45414.0</v>
      </c>
      <c r="E498" s="7">
        <v>45813.0</v>
      </c>
      <c r="F498" s="7">
        <v>45813.0</v>
      </c>
    </row>
    <row r="499">
      <c r="A499" s="4" t="s">
        <v>999</v>
      </c>
      <c r="B499" s="5" t="s">
        <v>1000</v>
      </c>
      <c r="C499" s="6"/>
      <c r="D499" s="7">
        <v>45414.0</v>
      </c>
      <c r="E499" s="7">
        <v>45826.0</v>
      </c>
      <c r="F499" s="7">
        <v>45826.0</v>
      </c>
    </row>
    <row r="500">
      <c r="A500" s="4" t="s">
        <v>1001</v>
      </c>
      <c r="B500" s="5" t="s">
        <v>1002</v>
      </c>
      <c r="C500" s="6"/>
      <c r="D500" s="7">
        <v>45414.0</v>
      </c>
      <c r="E500" s="7">
        <v>45826.0</v>
      </c>
      <c r="F500" s="7">
        <v>45826.0</v>
      </c>
    </row>
    <row r="501">
      <c r="A501" s="4" t="s">
        <v>1003</v>
      </c>
      <c r="B501" s="5" t="s">
        <v>1004</v>
      </c>
      <c r="C501" s="6"/>
      <c r="D501" s="7">
        <v>45414.0</v>
      </c>
      <c r="E501" s="7">
        <v>45828.0</v>
      </c>
      <c r="F501" s="7">
        <v>45828.0</v>
      </c>
    </row>
    <row r="502">
      <c r="A502" s="4" t="s">
        <v>1005</v>
      </c>
      <c r="B502" s="5" t="s">
        <v>1006</v>
      </c>
      <c r="C502" s="6"/>
      <c r="D502" s="7">
        <v>45414.0</v>
      </c>
      <c r="E502" s="7">
        <v>45825.0</v>
      </c>
      <c r="F502" s="7">
        <v>45825.0</v>
      </c>
    </row>
    <row r="503">
      <c r="A503" s="4" t="s">
        <v>1007</v>
      </c>
      <c r="B503" s="5" t="s">
        <v>1008</v>
      </c>
      <c r="C503" s="6"/>
      <c r="D503" s="7">
        <v>45414.0</v>
      </c>
      <c r="E503" s="7">
        <v>45826.0</v>
      </c>
      <c r="F503" s="7">
        <v>45826.0</v>
      </c>
    </row>
    <row r="504">
      <c r="A504" s="4" t="s">
        <v>1009</v>
      </c>
      <c r="B504" s="5" t="s">
        <v>1010</v>
      </c>
      <c r="C504" s="6"/>
      <c r="D504" s="7">
        <v>45414.0</v>
      </c>
      <c r="E504" s="7">
        <v>45834.0</v>
      </c>
      <c r="F504" s="7">
        <v>45834.0</v>
      </c>
    </row>
    <row r="505">
      <c r="A505" s="4" t="s">
        <v>1011</v>
      </c>
      <c r="B505" s="5" t="s">
        <v>1012</v>
      </c>
      <c r="C505" s="6"/>
      <c r="D505" s="7">
        <v>45414.0</v>
      </c>
      <c r="E505" s="7">
        <v>45833.0</v>
      </c>
      <c r="F505" s="7">
        <v>45833.0</v>
      </c>
    </row>
    <row r="506">
      <c r="A506" s="4" t="s">
        <v>1013</v>
      </c>
      <c r="B506" s="5" t="s">
        <v>1014</v>
      </c>
      <c r="C506" s="6"/>
      <c r="D506" s="7">
        <v>45414.0</v>
      </c>
      <c r="E506" s="7">
        <v>45826.0</v>
      </c>
      <c r="F506" s="7">
        <v>45826.0</v>
      </c>
    </row>
    <row r="507">
      <c r="A507" s="4" t="s">
        <v>1015</v>
      </c>
      <c r="B507" s="5" t="s">
        <v>1016</v>
      </c>
      <c r="C507" s="6"/>
      <c r="D507" s="7">
        <v>45414.0</v>
      </c>
      <c r="E507" s="7">
        <v>45791.0</v>
      </c>
      <c r="F507" s="7">
        <v>45791.0</v>
      </c>
    </row>
    <row r="508">
      <c r="A508" s="4" t="s">
        <v>1017</v>
      </c>
      <c r="B508" s="5" t="s">
        <v>1018</v>
      </c>
      <c r="C508" s="6"/>
      <c r="D508" s="7">
        <v>45414.0</v>
      </c>
      <c r="E508" s="7">
        <v>45826.0</v>
      </c>
      <c r="F508" s="7">
        <v>45826.0</v>
      </c>
    </row>
    <row r="509">
      <c r="A509" s="4" t="s">
        <v>1019</v>
      </c>
      <c r="B509" s="5" t="s">
        <v>1020</v>
      </c>
      <c r="C509" s="6"/>
      <c r="D509" s="7">
        <v>45414.0</v>
      </c>
      <c r="E509" s="7">
        <v>45826.0</v>
      </c>
      <c r="F509" s="7">
        <v>45826.0</v>
      </c>
    </row>
    <row r="510">
      <c r="A510" s="4" t="s">
        <v>1021</v>
      </c>
      <c r="B510" s="5" t="s">
        <v>1022</v>
      </c>
      <c r="C510" s="6"/>
      <c r="D510" s="7">
        <v>45414.0</v>
      </c>
      <c r="E510" s="7">
        <v>45828.0</v>
      </c>
      <c r="F510" s="7">
        <v>45828.0</v>
      </c>
    </row>
    <row r="511">
      <c r="A511" s="4" t="s">
        <v>1023</v>
      </c>
      <c r="B511" s="5" t="s">
        <v>1024</v>
      </c>
      <c r="C511" s="6"/>
      <c r="D511" s="7">
        <v>45414.0</v>
      </c>
      <c r="E511" s="7">
        <v>45825.0</v>
      </c>
      <c r="F511" s="7">
        <v>45825.0</v>
      </c>
    </row>
    <row r="512">
      <c r="A512" s="4" t="s">
        <v>1025</v>
      </c>
      <c r="B512" s="5" t="s">
        <v>1026</v>
      </c>
      <c r="C512" s="6"/>
      <c r="D512" s="7">
        <v>45414.0</v>
      </c>
      <c r="E512" s="7">
        <v>45820.0</v>
      </c>
      <c r="F512" s="7">
        <v>45820.0</v>
      </c>
    </row>
    <row r="513">
      <c r="A513" s="4" t="s">
        <v>1027</v>
      </c>
      <c r="B513" s="5" t="s">
        <v>1028</v>
      </c>
      <c r="C513" s="6"/>
      <c r="D513" s="7">
        <v>45414.0</v>
      </c>
      <c r="E513" s="7">
        <v>45833.0</v>
      </c>
      <c r="F513" s="7">
        <v>45833.0</v>
      </c>
    </row>
    <row r="514">
      <c r="A514" s="4" t="s">
        <v>1029</v>
      </c>
      <c r="B514" s="5" t="s">
        <v>1030</v>
      </c>
      <c r="C514" s="6"/>
      <c r="D514" s="7">
        <v>45414.0</v>
      </c>
      <c r="E514" s="7">
        <v>45826.0</v>
      </c>
      <c r="F514" s="7">
        <v>45826.0</v>
      </c>
    </row>
    <row r="515">
      <c r="A515" s="4" t="s">
        <v>1031</v>
      </c>
      <c r="B515" s="5" t="s">
        <v>1032</v>
      </c>
      <c r="C515" s="6"/>
      <c r="D515" s="7">
        <v>45414.0</v>
      </c>
      <c r="E515" s="7">
        <v>45832.0</v>
      </c>
      <c r="F515" s="7">
        <v>45832.0</v>
      </c>
    </row>
    <row r="516">
      <c r="A516" s="4" t="s">
        <v>1033</v>
      </c>
      <c r="B516" s="5" t="s">
        <v>1034</v>
      </c>
      <c r="C516" s="6"/>
      <c r="D516" s="7">
        <v>45414.0</v>
      </c>
      <c r="E516" s="7">
        <v>45827.0</v>
      </c>
      <c r="F516" s="7">
        <v>45827.0</v>
      </c>
    </row>
    <row r="517">
      <c r="A517" s="4" t="s">
        <v>1035</v>
      </c>
      <c r="B517" s="5" t="s">
        <v>1036</v>
      </c>
      <c r="C517" s="6"/>
      <c r="D517" s="7">
        <v>45414.0</v>
      </c>
      <c r="E517" s="7">
        <v>45818.0</v>
      </c>
      <c r="F517" s="7">
        <v>45818.0</v>
      </c>
    </row>
    <row r="518">
      <c r="A518" s="4" t="s">
        <v>1037</v>
      </c>
      <c r="B518" s="5" t="s">
        <v>1038</v>
      </c>
      <c r="C518" s="6"/>
      <c r="D518" s="7">
        <v>45414.0</v>
      </c>
      <c r="E518" s="7">
        <v>45826.0</v>
      </c>
      <c r="F518" s="7">
        <v>45826.0</v>
      </c>
    </row>
    <row r="519">
      <c r="A519" s="4" t="s">
        <v>1039</v>
      </c>
      <c r="B519" s="5" t="s">
        <v>1040</v>
      </c>
      <c r="C519" s="6"/>
      <c r="D519" s="7">
        <v>45414.0</v>
      </c>
      <c r="E519" s="7">
        <v>45828.0</v>
      </c>
      <c r="F519" s="7">
        <v>45828.0</v>
      </c>
    </row>
    <row r="520">
      <c r="A520" s="4" t="s">
        <v>1041</v>
      </c>
      <c r="B520" s="5" t="s">
        <v>1042</v>
      </c>
      <c r="C520" s="6"/>
      <c r="D520" s="7">
        <v>45414.0</v>
      </c>
      <c r="E520" s="7">
        <v>45832.0</v>
      </c>
      <c r="F520" s="7">
        <v>45832.0</v>
      </c>
    </row>
    <row r="521">
      <c r="A521" s="4" t="s">
        <v>1043</v>
      </c>
      <c r="B521" s="5" t="s">
        <v>1044</v>
      </c>
      <c r="C521" s="6"/>
      <c r="D521" s="7">
        <v>45414.0</v>
      </c>
      <c r="E521" s="7">
        <v>45819.0</v>
      </c>
      <c r="F521" s="7">
        <v>45819.0</v>
      </c>
    </row>
    <row r="522">
      <c r="A522" s="4" t="s">
        <v>1045</v>
      </c>
      <c r="B522" s="5" t="s">
        <v>1046</v>
      </c>
      <c r="C522" s="6"/>
      <c r="D522" s="7">
        <v>45414.0</v>
      </c>
      <c r="E522" s="7">
        <v>45826.0</v>
      </c>
      <c r="F522" s="7">
        <v>45826.0</v>
      </c>
    </row>
    <row r="523">
      <c r="A523" s="4" t="s">
        <v>1047</v>
      </c>
      <c r="B523" s="5" t="s">
        <v>1048</v>
      </c>
      <c r="C523" s="6"/>
      <c r="D523" s="7">
        <v>45414.0</v>
      </c>
      <c r="E523" s="7">
        <v>45826.0</v>
      </c>
      <c r="F523" s="7">
        <v>45826.0</v>
      </c>
    </row>
    <row r="524">
      <c r="A524" s="4" t="s">
        <v>1049</v>
      </c>
      <c r="B524" s="5" t="s">
        <v>1050</v>
      </c>
      <c r="C524" s="6"/>
      <c r="D524" s="7">
        <v>45414.0</v>
      </c>
      <c r="E524" s="7">
        <v>45831.0</v>
      </c>
      <c r="F524" s="7">
        <v>45831.0</v>
      </c>
    </row>
    <row r="525">
      <c r="A525" s="4" t="s">
        <v>1051</v>
      </c>
      <c r="B525" s="5" t="s">
        <v>1052</v>
      </c>
      <c r="C525" s="6"/>
      <c r="D525" s="7">
        <v>45414.0</v>
      </c>
      <c r="E525" s="7">
        <v>45826.0</v>
      </c>
      <c r="F525" s="7">
        <v>45826.0</v>
      </c>
    </row>
    <row r="526">
      <c r="A526" s="4" t="s">
        <v>1053</v>
      </c>
      <c r="B526" s="5" t="s">
        <v>1054</v>
      </c>
      <c r="C526" s="6"/>
      <c r="D526" s="7">
        <v>45414.0</v>
      </c>
      <c r="E526" s="7">
        <v>45826.0</v>
      </c>
      <c r="F526" s="7">
        <v>45826.0</v>
      </c>
    </row>
    <row r="527">
      <c r="A527" s="4" t="s">
        <v>1055</v>
      </c>
      <c r="B527" s="5" t="s">
        <v>1056</v>
      </c>
      <c r="C527" s="6"/>
      <c r="D527" s="7">
        <v>45414.0</v>
      </c>
      <c r="E527" s="7">
        <v>45825.0</v>
      </c>
      <c r="F527" s="7">
        <v>45825.0</v>
      </c>
    </row>
    <row r="528">
      <c r="A528" s="4" t="s">
        <v>1057</v>
      </c>
      <c r="B528" s="5" t="s">
        <v>1058</v>
      </c>
      <c r="C528" s="6"/>
      <c r="D528" s="7">
        <v>45414.0</v>
      </c>
      <c r="E528" s="7">
        <v>45827.0</v>
      </c>
      <c r="F528" s="7">
        <v>45827.0</v>
      </c>
    </row>
    <row r="529">
      <c r="A529" s="4" t="s">
        <v>1059</v>
      </c>
      <c r="B529" s="5" t="s">
        <v>1060</v>
      </c>
      <c r="C529" s="6"/>
      <c r="D529" s="7">
        <v>45414.0</v>
      </c>
      <c r="E529" s="7">
        <v>45797.0</v>
      </c>
      <c r="F529" s="7">
        <v>45797.0</v>
      </c>
    </row>
    <row r="530">
      <c r="A530" s="4" t="s">
        <v>1061</v>
      </c>
      <c r="B530" s="5" t="s">
        <v>1062</v>
      </c>
      <c r="C530" s="6"/>
      <c r="D530" s="7">
        <v>45414.0</v>
      </c>
      <c r="E530" s="7">
        <v>45812.0</v>
      </c>
      <c r="F530" s="7">
        <v>45812.0</v>
      </c>
    </row>
    <row r="531">
      <c r="A531" s="4" t="s">
        <v>1063</v>
      </c>
      <c r="B531" s="5" t="s">
        <v>1064</v>
      </c>
      <c r="C531" s="6"/>
      <c r="D531" s="7">
        <v>45414.0</v>
      </c>
      <c r="E531" s="7">
        <v>45820.0</v>
      </c>
      <c r="F531" s="7">
        <v>45820.0</v>
      </c>
    </row>
    <row r="532">
      <c r="A532" s="4" t="s">
        <v>1065</v>
      </c>
      <c r="B532" s="5" t="s">
        <v>1066</v>
      </c>
      <c r="C532" s="6"/>
      <c r="D532" s="7">
        <v>45414.0</v>
      </c>
      <c r="E532" s="7">
        <v>45826.0</v>
      </c>
      <c r="F532" s="7">
        <v>45826.0</v>
      </c>
    </row>
    <row r="533">
      <c r="A533" s="4" t="s">
        <v>1067</v>
      </c>
      <c r="B533" s="5" t="s">
        <v>1068</v>
      </c>
      <c r="C533" s="6"/>
      <c r="D533" s="7">
        <v>45414.0</v>
      </c>
      <c r="E533" s="7">
        <v>45462.0</v>
      </c>
      <c r="F533" s="7">
        <v>45462.0</v>
      </c>
    </row>
    <row r="534">
      <c r="A534" s="4" t="s">
        <v>1069</v>
      </c>
      <c r="B534" s="5" t="s">
        <v>1070</v>
      </c>
      <c r="C534" s="6"/>
      <c r="D534" s="7">
        <v>45414.0</v>
      </c>
      <c r="E534" s="7">
        <v>45826.0</v>
      </c>
      <c r="F534" s="7">
        <v>45826.0</v>
      </c>
    </row>
    <row r="535">
      <c r="A535" s="4" t="s">
        <v>1071</v>
      </c>
      <c r="B535" s="5" t="s">
        <v>1072</v>
      </c>
      <c r="C535" s="6"/>
      <c r="D535" s="7">
        <v>45414.0</v>
      </c>
      <c r="E535" s="7">
        <v>45832.0</v>
      </c>
      <c r="F535" s="7">
        <v>45832.0</v>
      </c>
    </row>
    <row r="536">
      <c r="A536" s="4" t="s">
        <v>1073</v>
      </c>
      <c r="B536" s="5" t="s">
        <v>1074</v>
      </c>
      <c r="C536" s="6"/>
      <c r="D536" s="7">
        <v>45414.0</v>
      </c>
      <c r="E536" s="7">
        <v>45826.0</v>
      </c>
      <c r="F536" s="7">
        <v>45826.0</v>
      </c>
    </row>
    <row r="537">
      <c r="A537" s="4" t="s">
        <v>1075</v>
      </c>
      <c r="B537" s="5" t="s">
        <v>1076</v>
      </c>
      <c r="C537" s="6"/>
      <c r="D537" s="7">
        <v>45414.0</v>
      </c>
      <c r="E537" s="7">
        <v>45812.0</v>
      </c>
      <c r="F537" s="7">
        <v>45812.0</v>
      </c>
    </row>
    <row r="538">
      <c r="A538" s="4" t="s">
        <v>1077</v>
      </c>
      <c r="B538" s="5" t="s">
        <v>1078</v>
      </c>
      <c r="C538" s="6"/>
      <c r="D538" s="7">
        <v>45414.0</v>
      </c>
      <c r="E538" s="5" t="e">
        <v>#N/A</v>
      </c>
      <c r="F538" s="5" t="e">
        <v>#N/A</v>
      </c>
    </row>
    <row r="539">
      <c r="A539" s="4" t="s">
        <v>1079</v>
      </c>
      <c r="B539" s="5" t="s">
        <v>1080</v>
      </c>
      <c r="C539" s="6"/>
      <c r="D539" s="7">
        <v>45414.0</v>
      </c>
      <c r="E539" s="7">
        <v>45825.0</v>
      </c>
      <c r="F539" s="7">
        <v>45825.0</v>
      </c>
    </row>
    <row r="540">
      <c r="A540" s="4" t="s">
        <v>1081</v>
      </c>
      <c r="B540" s="5" t="s">
        <v>1082</v>
      </c>
      <c r="C540" s="6"/>
      <c r="D540" s="7">
        <v>45414.0</v>
      </c>
      <c r="E540" s="7">
        <v>45826.0</v>
      </c>
      <c r="F540" s="7">
        <v>45826.0</v>
      </c>
    </row>
    <row r="541">
      <c r="A541" s="4" t="s">
        <v>1083</v>
      </c>
      <c r="B541" s="5" t="s">
        <v>1084</v>
      </c>
      <c r="C541" s="6"/>
      <c r="D541" s="7">
        <v>45414.0</v>
      </c>
      <c r="E541" s="7">
        <v>45819.0</v>
      </c>
      <c r="F541" s="7">
        <v>45819.0</v>
      </c>
    </row>
    <row r="542">
      <c r="A542" s="4" t="s">
        <v>1085</v>
      </c>
      <c r="B542" s="5" t="s">
        <v>1086</v>
      </c>
      <c r="C542" s="6"/>
      <c r="D542" s="7">
        <v>45414.0</v>
      </c>
      <c r="E542" s="7">
        <v>45461.0</v>
      </c>
      <c r="F542" s="7">
        <v>45461.0</v>
      </c>
    </row>
    <row r="543">
      <c r="A543" s="4" t="s">
        <v>1087</v>
      </c>
      <c r="B543" s="5" t="s">
        <v>1088</v>
      </c>
      <c r="C543" s="6"/>
      <c r="D543" s="7">
        <v>45415.0</v>
      </c>
      <c r="E543" s="7">
        <v>45825.0</v>
      </c>
      <c r="F543" s="7">
        <v>45825.0</v>
      </c>
    </row>
    <row r="544">
      <c r="A544" s="4" t="s">
        <v>1089</v>
      </c>
      <c r="B544" s="5" t="s">
        <v>1090</v>
      </c>
      <c r="C544" s="6"/>
      <c r="D544" s="7">
        <v>45415.0</v>
      </c>
      <c r="E544" s="7">
        <v>45825.0</v>
      </c>
      <c r="F544" s="7">
        <v>45825.0</v>
      </c>
    </row>
    <row r="545">
      <c r="A545" s="4" t="s">
        <v>1091</v>
      </c>
      <c r="B545" s="5" t="s">
        <v>1092</v>
      </c>
      <c r="C545" s="6"/>
      <c r="D545" s="7">
        <v>45415.0</v>
      </c>
      <c r="E545" s="7">
        <v>45832.0</v>
      </c>
      <c r="F545" s="7">
        <v>45832.0</v>
      </c>
    </row>
    <row r="546">
      <c r="A546" s="4" t="s">
        <v>1093</v>
      </c>
      <c r="B546" s="5" t="s">
        <v>1094</v>
      </c>
      <c r="C546" s="6"/>
      <c r="D546" s="7">
        <v>45415.0</v>
      </c>
      <c r="E546" s="7">
        <v>45825.0</v>
      </c>
      <c r="F546" s="7">
        <v>45825.0</v>
      </c>
    </row>
    <row r="547">
      <c r="A547" s="4" t="s">
        <v>1095</v>
      </c>
      <c r="B547" s="5" t="s">
        <v>1096</v>
      </c>
      <c r="C547" s="6"/>
      <c r="D547" s="7">
        <v>45415.0</v>
      </c>
      <c r="E547" s="7">
        <v>45792.0</v>
      </c>
      <c r="F547" s="7">
        <v>45792.0</v>
      </c>
    </row>
    <row r="548">
      <c r="A548" s="4" t="s">
        <v>1097</v>
      </c>
      <c r="B548" s="5" t="s">
        <v>1098</v>
      </c>
      <c r="C548" s="6"/>
      <c r="D548" s="7">
        <v>45415.0</v>
      </c>
      <c r="E548" s="7">
        <v>45818.0</v>
      </c>
      <c r="F548" s="7">
        <v>45818.0</v>
      </c>
    </row>
    <row r="549">
      <c r="A549" s="4" t="s">
        <v>1099</v>
      </c>
      <c r="B549" s="5" t="s">
        <v>1100</v>
      </c>
      <c r="C549" s="6"/>
      <c r="D549" s="7">
        <v>45415.0</v>
      </c>
      <c r="E549" s="7">
        <v>45825.0</v>
      </c>
      <c r="F549" s="7">
        <v>45825.0</v>
      </c>
    </row>
    <row r="550">
      <c r="A550" s="4" t="s">
        <v>1101</v>
      </c>
      <c r="B550" s="5" t="s">
        <v>1102</v>
      </c>
      <c r="C550" s="6"/>
      <c r="D550" s="7">
        <v>45415.0</v>
      </c>
      <c r="E550" s="7">
        <v>45817.0</v>
      </c>
      <c r="F550" s="7">
        <v>45817.0</v>
      </c>
    </row>
    <row r="551">
      <c r="A551" s="4" t="s">
        <v>1103</v>
      </c>
      <c r="B551" s="5" t="s">
        <v>1104</v>
      </c>
      <c r="C551" s="6"/>
      <c r="D551" s="7">
        <v>45415.0</v>
      </c>
      <c r="E551" s="7">
        <v>45832.0</v>
      </c>
      <c r="F551" s="7">
        <v>45832.0</v>
      </c>
    </row>
    <row r="552">
      <c r="A552" s="4" t="s">
        <v>1105</v>
      </c>
      <c r="B552" s="5" t="s">
        <v>1106</v>
      </c>
      <c r="C552" s="6"/>
      <c r="D552" s="7">
        <v>45415.0</v>
      </c>
      <c r="E552" s="7">
        <v>45797.0</v>
      </c>
      <c r="F552" s="7">
        <v>45797.0</v>
      </c>
    </row>
    <row r="553">
      <c r="A553" s="4" t="s">
        <v>1107</v>
      </c>
      <c r="B553" s="5" t="s">
        <v>1108</v>
      </c>
      <c r="C553" s="6"/>
      <c r="D553" s="7">
        <v>45415.0</v>
      </c>
      <c r="E553" s="7">
        <v>45819.0</v>
      </c>
      <c r="F553" s="7">
        <v>45819.0</v>
      </c>
    </row>
    <row r="554">
      <c r="A554" s="4" t="s">
        <v>1109</v>
      </c>
      <c r="B554" s="5" t="s">
        <v>1110</v>
      </c>
      <c r="C554" s="6"/>
      <c r="D554" s="7">
        <v>45415.0</v>
      </c>
      <c r="E554" s="7">
        <v>45833.0</v>
      </c>
      <c r="F554" s="7">
        <v>45833.0</v>
      </c>
    </row>
    <row r="555">
      <c r="A555" s="4" t="s">
        <v>1111</v>
      </c>
      <c r="B555" s="5" t="s">
        <v>1112</v>
      </c>
      <c r="C555" s="6"/>
      <c r="D555" s="7">
        <v>45415.0</v>
      </c>
      <c r="E555" s="7">
        <v>45825.0</v>
      </c>
      <c r="F555" s="7">
        <v>45825.0</v>
      </c>
    </row>
    <row r="556">
      <c r="A556" s="4" t="s">
        <v>1113</v>
      </c>
      <c r="B556" s="5" t="s">
        <v>1114</v>
      </c>
      <c r="C556" s="6"/>
      <c r="D556" s="7">
        <v>45415.0</v>
      </c>
      <c r="E556" s="7">
        <v>45819.0</v>
      </c>
      <c r="F556" s="7">
        <v>45819.0</v>
      </c>
    </row>
    <row r="557">
      <c r="A557" s="4" t="s">
        <v>1115</v>
      </c>
      <c r="B557" s="5" t="s">
        <v>1116</v>
      </c>
      <c r="C557" s="6"/>
      <c r="D557" s="7">
        <v>45415.0</v>
      </c>
      <c r="E557" s="7">
        <v>45826.0</v>
      </c>
      <c r="F557" s="7">
        <v>45826.0</v>
      </c>
    </row>
    <row r="558">
      <c r="A558" s="4" t="s">
        <v>1117</v>
      </c>
      <c r="B558" s="5" t="s">
        <v>1118</v>
      </c>
      <c r="C558" s="6"/>
      <c r="D558" s="7">
        <v>45415.0</v>
      </c>
      <c r="E558" s="7">
        <v>45820.0</v>
      </c>
      <c r="F558" s="7">
        <v>45820.0</v>
      </c>
    </row>
    <row r="559">
      <c r="A559" s="4" t="s">
        <v>1119</v>
      </c>
      <c r="B559" s="5" t="s">
        <v>1120</v>
      </c>
      <c r="C559" s="6"/>
      <c r="D559" s="7">
        <v>45415.0</v>
      </c>
      <c r="E559" s="7">
        <v>45826.0</v>
      </c>
      <c r="F559" s="7">
        <v>45826.0</v>
      </c>
    </row>
    <row r="560">
      <c r="A560" s="4" t="s">
        <v>1121</v>
      </c>
      <c r="B560" s="5" t="s">
        <v>1122</v>
      </c>
      <c r="C560" s="6"/>
      <c r="D560" s="7">
        <v>45415.0</v>
      </c>
      <c r="E560" s="7">
        <v>45832.0</v>
      </c>
      <c r="F560" s="7">
        <v>45832.0</v>
      </c>
    </row>
    <row r="561">
      <c r="A561" s="4" t="s">
        <v>1123</v>
      </c>
      <c r="B561" s="5" t="s">
        <v>1124</v>
      </c>
      <c r="C561" s="6"/>
      <c r="D561" s="7">
        <v>45415.0</v>
      </c>
      <c r="E561" s="7">
        <v>45461.0</v>
      </c>
      <c r="F561" s="7">
        <v>45461.0</v>
      </c>
    </row>
    <row r="562">
      <c r="A562" s="4" t="s">
        <v>1125</v>
      </c>
      <c r="B562" s="5" t="s">
        <v>1126</v>
      </c>
      <c r="C562" s="6"/>
      <c r="D562" s="7">
        <v>45415.0</v>
      </c>
      <c r="E562" s="7">
        <v>45818.0</v>
      </c>
      <c r="F562" s="7">
        <v>45818.0</v>
      </c>
    </row>
    <row r="563">
      <c r="A563" s="4" t="s">
        <v>1127</v>
      </c>
      <c r="B563" s="5" t="s">
        <v>1128</v>
      </c>
      <c r="C563" s="6"/>
      <c r="D563" s="7">
        <v>45415.0</v>
      </c>
      <c r="E563" s="7">
        <v>45849.0</v>
      </c>
      <c r="F563" s="7">
        <v>45849.0</v>
      </c>
    </row>
    <row r="564">
      <c r="A564" s="4" t="s">
        <v>1129</v>
      </c>
      <c r="B564" s="5" t="s">
        <v>1130</v>
      </c>
      <c r="C564" s="6"/>
      <c r="D564" s="7">
        <v>45415.0</v>
      </c>
      <c r="E564" s="7">
        <v>45820.0</v>
      </c>
      <c r="F564" s="7">
        <v>45820.0</v>
      </c>
    </row>
    <row r="565">
      <c r="A565" s="4" t="s">
        <v>1131</v>
      </c>
      <c r="B565" s="5" t="s">
        <v>1132</v>
      </c>
      <c r="C565" s="6"/>
      <c r="D565" s="7">
        <v>45415.0</v>
      </c>
      <c r="E565" s="7">
        <v>45825.0</v>
      </c>
      <c r="F565" s="7">
        <v>45825.0</v>
      </c>
    </row>
    <row r="566">
      <c r="A566" s="4" t="s">
        <v>1133</v>
      </c>
      <c r="B566" s="5" t="s">
        <v>1134</v>
      </c>
      <c r="C566" s="6"/>
      <c r="D566" s="7">
        <v>45415.0</v>
      </c>
      <c r="E566" s="7">
        <v>45825.0</v>
      </c>
      <c r="F566" s="7">
        <v>45825.0</v>
      </c>
    </row>
    <row r="567">
      <c r="A567" s="4" t="s">
        <v>1135</v>
      </c>
      <c r="B567" s="5" t="s">
        <v>1136</v>
      </c>
      <c r="C567" s="6"/>
      <c r="D567" s="7">
        <v>45416.0</v>
      </c>
      <c r="E567" s="7">
        <v>45818.0</v>
      </c>
      <c r="F567" s="7">
        <v>45818.0</v>
      </c>
    </row>
    <row r="568">
      <c r="A568" s="4" t="s">
        <v>1137</v>
      </c>
      <c r="B568" s="5" t="s">
        <v>1138</v>
      </c>
      <c r="C568" s="6"/>
      <c r="D568" s="7">
        <v>45416.0</v>
      </c>
      <c r="E568" s="7">
        <v>45825.0</v>
      </c>
      <c r="F568" s="7">
        <v>45825.0</v>
      </c>
    </row>
    <row r="569">
      <c r="A569" s="4" t="s">
        <v>1139</v>
      </c>
      <c r="B569" s="5" t="s">
        <v>1140</v>
      </c>
      <c r="C569" s="6"/>
      <c r="D569" s="7">
        <v>45418.0</v>
      </c>
      <c r="E569" s="7">
        <v>45826.0</v>
      </c>
      <c r="F569" s="7">
        <v>45826.0</v>
      </c>
    </row>
    <row r="570">
      <c r="A570" s="4" t="s">
        <v>1141</v>
      </c>
      <c r="B570" s="5" t="s">
        <v>1142</v>
      </c>
      <c r="C570" s="6"/>
      <c r="D570" s="7">
        <v>45418.0</v>
      </c>
      <c r="E570" s="7">
        <v>45812.0</v>
      </c>
      <c r="F570" s="7">
        <v>45812.0</v>
      </c>
    </row>
    <row r="571">
      <c r="A571" s="4" t="s">
        <v>1143</v>
      </c>
      <c r="B571" s="5" t="s">
        <v>1144</v>
      </c>
      <c r="C571" s="6"/>
      <c r="D571" s="7">
        <v>45418.0</v>
      </c>
      <c r="E571" s="7">
        <v>45825.0</v>
      </c>
      <c r="F571" s="7">
        <v>45825.0</v>
      </c>
    </row>
    <row r="572">
      <c r="A572" s="4" t="s">
        <v>1145</v>
      </c>
      <c r="B572" s="5" t="s">
        <v>1146</v>
      </c>
      <c r="C572" s="6"/>
      <c r="D572" s="7">
        <v>45418.0</v>
      </c>
      <c r="E572" s="7">
        <v>45826.0</v>
      </c>
      <c r="F572" s="7">
        <v>45826.0</v>
      </c>
    </row>
    <row r="573">
      <c r="A573" s="4" t="s">
        <v>1147</v>
      </c>
      <c r="B573" s="5" t="s">
        <v>1148</v>
      </c>
      <c r="C573" s="6"/>
      <c r="D573" s="7">
        <v>45418.0</v>
      </c>
      <c r="E573" s="7">
        <v>45825.0</v>
      </c>
      <c r="F573" s="7">
        <v>45825.0</v>
      </c>
    </row>
    <row r="574">
      <c r="A574" s="4" t="s">
        <v>1149</v>
      </c>
      <c r="B574" s="5" t="s">
        <v>1150</v>
      </c>
      <c r="C574" s="6"/>
      <c r="D574" s="7">
        <v>45418.0</v>
      </c>
      <c r="E574" s="7">
        <v>45818.0</v>
      </c>
      <c r="F574" s="7">
        <v>45818.0</v>
      </c>
    </row>
    <row r="575">
      <c r="A575" s="4" t="s">
        <v>1151</v>
      </c>
      <c r="B575" s="5" t="s">
        <v>1152</v>
      </c>
      <c r="C575" s="6"/>
      <c r="D575" s="7">
        <v>45418.0</v>
      </c>
      <c r="E575" s="7">
        <v>45805.0</v>
      </c>
      <c r="F575" s="7">
        <v>45805.0</v>
      </c>
    </row>
    <row r="576">
      <c r="A576" s="4" t="s">
        <v>1153</v>
      </c>
      <c r="B576" s="5" t="s">
        <v>1154</v>
      </c>
      <c r="C576" s="6"/>
      <c r="D576" s="7">
        <v>45418.0</v>
      </c>
      <c r="E576" s="7">
        <v>45825.0</v>
      </c>
      <c r="F576" s="7">
        <v>45825.0</v>
      </c>
    </row>
    <row r="577">
      <c r="A577" s="4" t="s">
        <v>1155</v>
      </c>
      <c r="B577" s="5" t="s">
        <v>1156</v>
      </c>
      <c r="C577" s="6"/>
      <c r="D577" s="7">
        <v>45418.0</v>
      </c>
      <c r="E577" s="7">
        <v>45833.0</v>
      </c>
      <c r="F577" s="7">
        <v>45833.0</v>
      </c>
    </row>
    <row r="578">
      <c r="A578" s="4" t="s">
        <v>1157</v>
      </c>
      <c r="B578" s="5" t="s">
        <v>1158</v>
      </c>
      <c r="C578" s="6"/>
      <c r="D578" s="7">
        <v>45418.0</v>
      </c>
      <c r="E578" s="7">
        <v>45806.0</v>
      </c>
      <c r="F578" s="7">
        <v>45806.0</v>
      </c>
    </row>
    <row r="579">
      <c r="A579" s="4" t="s">
        <v>1159</v>
      </c>
      <c r="B579" s="5" t="s">
        <v>1160</v>
      </c>
      <c r="C579" s="6"/>
      <c r="D579" s="7">
        <v>45418.0</v>
      </c>
      <c r="E579" s="7">
        <v>45825.0</v>
      </c>
      <c r="F579" s="7">
        <v>45825.0</v>
      </c>
    </row>
    <row r="580">
      <c r="A580" s="4" t="s">
        <v>1161</v>
      </c>
      <c r="B580" s="5" t="s">
        <v>1162</v>
      </c>
      <c r="C580" s="6"/>
      <c r="D580" s="7">
        <v>45418.0</v>
      </c>
      <c r="E580" s="7">
        <v>45824.0</v>
      </c>
      <c r="F580" s="7">
        <v>45824.0</v>
      </c>
    </row>
    <row r="581">
      <c r="A581" s="4" t="s">
        <v>1163</v>
      </c>
      <c r="B581" s="5" t="s">
        <v>1164</v>
      </c>
      <c r="C581" s="6"/>
      <c r="D581" s="7">
        <v>45418.0</v>
      </c>
      <c r="E581" s="7">
        <v>45460.0</v>
      </c>
      <c r="F581" s="7">
        <v>45460.0</v>
      </c>
    </row>
    <row r="582">
      <c r="A582" s="4" t="s">
        <v>1165</v>
      </c>
      <c r="B582" s="5" t="s">
        <v>1166</v>
      </c>
      <c r="C582" s="6"/>
      <c r="D582" s="7">
        <v>45418.0</v>
      </c>
      <c r="E582" s="7">
        <v>45796.0</v>
      </c>
      <c r="F582" s="7">
        <v>45796.0</v>
      </c>
    </row>
    <row r="583">
      <c r="A583" s="4" t="s">
        <v>1167</v>
      </c>
      <c r="B583" s="5" t="s">
        <v>1168</v>
      </c>
      <c r="C583" s="6"/>
      <c r="D583" s="7">
        <v>45418.0</v>
      </c>
      <c r="E583" s="7">
        <v>45824.0</v>
      </c>
      <c r="F583" s="7">
        <v>45824.0</v>
      </c>
    </row>
    <row r="584">
      <c r="A584" s="4" t="s">
        <v>1169</v>
      </c>
      <c r="B584" s="5" t="s">
        <v>1170</v>
      </c>
      <c r="C584" s="6"/>
      <c r="D584" s="7">
        <v>45418.0</v>
      </c>
      <c r="E584" s="7">
        <v>45460.0</v>
      </c>
      <c r="F584" s="7">
        <v>45460.0</v>
      </c>
    </row>
    <row r="585">
      <c r="A585" s="4" t="s">
        <v>1171</v>
      </c>
      <c r="B585" s="5" t="s">
        <v>1172</v>
      </c>
      <c r="C585" s="6"/>
      <c r="D585" s="7">
        <v>45418.0</v>
      </c>
      <c r="E585" s="7">
        <v>45834.0</v>
      </c>
      <c r="F585" s="7">
        <v>45834.0</v>
      </c>
    </row>
    <row r="586">
      <c r="A586" s="4" t="s">
        <v>1173</v>
      </c>
      <c r="B586" s="5" t="s">
        <v>1174</v>
      </c>
      <c r="C586" s="6"/>
      <c r="D586" s="7">
        <v>45418.0</v>
      </c>
      <c r="E586" s="7">
        <v>45821.0</v>
      </c>
      <c r="F586" s="7">
        <v>45821.0</v>
      </c>
    </row>
    <row r="587">
      <c r="A587" s="4" t="s">
        <v>1175</v>
      </c>
      <c r="B587" s="5" t="s">
        <v>1176</v>
      </c>
      <c r="C587" s="6"/>
      <c r="D587" s="7">
        <v>45419.0</v>
      </c>
      <c r="E587" s="7">
        <v>45821.0</v>
      </c>
      <c r="F587" s="7">
        <v>45821.0</v>
      </c>
    </row>
    <row r="588">
      <c r="A588" s="4" t="s">
        <v>1177</v>
      </c>
      <c r="B588" s="5" t="s">
        <v>1178</v>
      </c>
      <c r="C588" s="6"/>
      <c r="D588" s="7">
        <v>45419.0</v>
      </c>
      <c r="E588" s="7">
        <v>45826.0</v>
      </c>
      <c r="F588" s="7">
        <v>45826.0</v>
      </c>
    </row>
    <row r="589">
      <c r="A589" s="4" t="s">
        <v>1179</v>
      </c>
      <c r="B589" s="5" t="s">
        <v>1180</v>
      </c>
      <c r="C589" s="6"/>
      <c r="D589" s="7">
        <v>45419.0</v>
      </c>
      <c r="E589" s="7">
        <v>45457.0</v>
      </c>
      <c r="F589" s="7">
        <v>45457.0</v>
      </c>
    </row>
    <row r="590">
      <c r="A590" s="4" t="s">
        <v>1181</v>
      </c>
      <c r="B590" s="5" t="s">
        <v>1182</v>
      </c>
      <c r="C590" s="6"/>
      <c r="D590" s="7">
        <v>45419.0</v>
      </c>
      <c r="E590" s="7">
        <v>45793.0</v>
      </c>
      <c r="F590" s="7">
        <v>45793.0</v>
      </c>
    </row>
    <row r="591">
      <c r="A591" s="4" t="s">
        <v>1183</v>
      </c>
      <c r="B591" s="5" t="s">
        <v>1184</v>
      </c>
      <c r="C591" s="6"/>
      <c r="D591" s="7">
        <v>45419.0</v>
      </c>
      <c r="E591" s="7">
        <v>45821.0</v>
      </c>
      <c r="F591" s="7">
        <v>45821.0</v>
      </c>
    </row>
    <row r="592">
      <c r="A592" s="4" t="s">
        <v>1185</v>
      </c>
      <c r="B592" s="5" t="s">
        <v>1186</v>
      </c>
      <c r="C592" s="6"/>
      <c r="D592" s="7">
        <v>45419.0</v>
      </c>
      <c r="E592" s="7">
        <v>45814.0</v>
      </c>
      <c r="F592" s="7">
        <v>45814.0</v>
      </c>
    </row>
    <row r="593">
      <c r="A593" s="4" t="s">
        <v>1187</v>
      </c>
      <c r="B593" s="5" t="s">
        <v>1188</v>
      </c>
      <c r="C593" s="6"/>
      <c r="D593" s="7">
        <v>45419.0</v>
      </c>
      <c r="E593" s="7">
        <v>45820.0</v>
      </c>
      <c r="F593" s="7">
        <v>45820.0</v>
      </c>
    </row>
    <row r="594">
      <c r="A594" s="4" t="s">
        <v>1189</v>
      </c>
      <c r="B594" s="5" t="s">
        <v>1190</v>
      </c>
      <c r="C594" s="6"/>
      <c r="D594" s="7">
        <v>45419.0</v>
      </c>
      <c r="E594" s="7">
        <v>45812.0</v>
      </c>
      <c r="F594" s="7">
        <v>45812.0</v>
      </c>
    </row>
    <row r="595">
      <c r="A595" s="4" t="s">
        <v>1191</v>
      </c>
      <c r="B595" s="5" t="s">
        <v>1192</v>
      </c>
      <c r="C595" s="6"/>
      <c r="D595" s="7">
        <v>45419.0</v>
      </c>
      <c r="E595" s="7">
        <v>45824.0</v>
      </c>
      <c r="F595" s="7">
        <v>45824.0</v>
      </c>
    </row>
    <row r="596">
      <c r="A596" s="4" t="s">
        <v>1193</v>
      </c>
      <c r="B596" s="5" t="s">
        <v>1194</v>
      </c>
      <c r="C596" s="6"/>
      <c r="D596" s="7">
        <v>45419.0</v>
      </c>
      <c r="E596" s="7">
        <v>45814.0</v>
      </c>
      <c r="F596" s="7">
        <v>45814.0</v>
      </c>
    </row>
    <row r="597">
      <c r="A597" s="4" t="s">
        <v>1195</v>
      </c>
      <c r="B597" s="5" t="s">
        <v>1196</v>
      </c>
      <c r="C597" s="6"/>
      <c r="D597" s="7">
        <v>45419.0</v>
      </c>
      <c r="E597" s="7">
        <v>45820.0</v>
      </c>
      <c r="F597" s="7">
        <v>45820.0</v>
      </c>
    </row>
    <row r="598">
      <c r="A598" s="4" t="s">
        <v>1197</v>
      </c>
      <c r="B598" s="5" t="s">
        <v>1198</v>
      </c>
      <c r="C598" s="6"/>
      <c r="D598" s="7">
        <v>45419.0</v>
      </c>
      <c r="E598" s="7">
        <v>45820.0</v>
      </c>
      <c r="F598" s="7">
        <v>45820.0</v>
      </c>
    </row>
    <row r="599">
      <c r="A599" s="4" t="s">
        <v>1199</v>
      </c>
      <c r="B599" s="5" t="s">
        <v>1200</v>
      </c>
      <c r="C599" s="6"/>
      <c r="D599" s="7">
        <v>45419.0</v>
      </c>
      <c r="E599" s="7">
        <v>45792.0</v>
      </c>
      <c r="F599" s="7">
        <v>45792.0</v>
      </c>
    </row>
    <row r="600">
      <c r="A600" s="4" t="s">
        <v>1201</v>
      </c>
      <c r="B600" s="5" t="s">
        <v>1202</v>
      </c>
      <c r="C600" s="6"/>
      <c r="D600" s="7">
        <v>45419.0</v>
      </c>
      <c r="E600" s="7">
        <v>45826.0</v>
      </c>
      <c r="F600" s="7">
        <v>45826.0</v>
      </c>
    </row>
    <row r="601">
      <c r="A601" s="4" t="s">
        <v>1203</v>
      </c>
      <c r="B601" s="5" t="s">
        <v>1204</v>
      </c>
      <c r="C601" s="6"/>
      <c r="D601" s="7">
        <v>45419.0</v>
      </c>
      <c r="E601" s="7">
        <v>45821.0</v>
      </c>
      <c r="F601" s="7">
        <v>45821.0</v>
      </c>
    </row>
    <row r="602">
      <c r="A602" s="4" t="s">
        <v>1205</v>
      </c>
      <c r="B602" s="5" t="s">
        <v>1206</v>
      </c>
      <c r="C602" s="6"/>
      <c r="D602" s="7">
        <v>45419.0</v>
      </c>
      <c r="E602" s="7">
        <v>45826.0</v>
      </c>
      <c r="F602" s="7">
        <v>45826.0</v>
      </c>
    </row>
    <row r="603">
      <c r="A603" s="4" t="s">
        <v>1207</v>
      </c>
      <c r="B603" s="5" t="s">
        <v>1208</v>
      </c>
      <c r="C603" s="6"/>
      <c r="D603" s="7">
        <v>45419.0</v>
      </c>
      <c r="E603" s="7">
        <v>45821.0</v>
      </c>
      <c r="F603" s="7">
        <v>45821.0</v>
      </c>
    </row>
    <row r="604">
      <c r="A604" s="4" t="s">
        <v>1209</v>
      </c>
      <c r="B604" s="5" t="s">
        <v>1210</v>
      </c>
      <c r="C604" s="6"/>
      <c r="D604" s="7">
        <v>45419.0</v>
      </c>
      <c r="E604" s="7">
        <v>45814.0</v>
      </c>
      <c r="F604" s="7">
        <v>45814.0</v>
      </c>
    </row>
    <row r="605">
      <c r="A605" s="4" t="s">
        <v>1211</v>
      </c>
      <c r="B605" s="5" t="s">
        <v>1212</v>
      </c>
      <c r="C605" s="6"/>
      <c r="D605" s="7">
        <v>45419.0</v>
      </c>
      <c r="E605" s="7">
        <v>45849.0</v>
      </c>
      <c r="F605" s="7">
        <v>45849.0</v>
      </c>
    </row>
    <row r="606">
      <c r="A606" s="4" t="s">
        <v>1213</v>
      </c>
      <c r="B606" s="5" t="s">
        <v>1214</v>
      </c>
      <c r="C606" s="6"/>
      <c r="D606" s="7">
        <v>45419.0</v>
      </c>
      <c r="E606" s="7">
        <v>45820.0</v>
      </c>
      <c r="F606" s="7">
        <v>45820.0</v>
      </c>
    </row>
    <row r="607">
      <c r="A607" s="4" t="s">
        <v>1215</v>
      </c>
      <c r="B607" s="5" t="s">
        <v>1216</v>
      </c>
      <c r="C607" s="6"/>
      <c r="D607" s="7">
        <v>45419.0</v>
      </c>
      <c r="E607" s="7">
        <v>45821.0</v>
      </c>
      <c r="F607" s="7">
        <v>45821.0</v>
      </c>
    </row>
    <row r="608">
      <c r="A608" s="4" t="s">
        <v>1217</v>
      </c>
      <c r="B608" s="5" t="s">
        <v>1218</v>
      </c>
      <c r="C608" s="6"/>
      <c r="D608" s="7">
        <v>45419.0</v>
      </c>
      <c r="E608" s="7">
        <v>45820.0</v>
      </c>
      <c r="F608" s="7">
        <v>45820.0</v>
      </c>
    </row>
    <row r="609">
      <c r="A609" s="4" t="s">
        <v>1219</v>
      </c>
      <c r="B609" s="5" t="s">
        <v>1220</v>
      </c>
      <c r="C609" s="6"/>
      <c r="D609" s="7">
        <v>45419.0</v>
      </c>
      <c r="E609" s="7">
        <v>45821.0</v>
      </c>
      <c r="F609" s="7">
        <v>45821.0</v>
      </c>
    </row>
    <row r="610">
      <c r="A610" s="4" t="s">
        <v>1221</v>
      </c>
      <c r="B610" s="5" t="s">
        <v>1222</v>
      </c>
      <c r="C610" s="6"/>
      <c r="D610" s="7">
        <v>45419.0</v>
      </c>
      <c r="E610" s="7">
        <v>45811.0</v>
      </c>
      <c r="F610" s="7">
        <v>45811.0</v>
      </c>
    </row>
    <row r="611">
      <c r="A611" s="4" t="s">
        <v>1223</v>
      </c>
      <c r="B611" s="5" t="s">
        <v>1224</v>
      </c>
      <c r="C611" s="6"/>
      <c r="D611" s="7">
        <v>45419.0</v>
      </c>
      <c r="E611" s="7">
        <v>45792.0</v>
      </c>
      <c r="F611" s="7">
        <v>45792.0</v>
      </c>
    </row>
    <row r="612">
      <c r="A612" s="4" t="s">
        <v>1225</v>
      </c>
      <c r="B612" s="5" t="s">
        <v>1226</v>
      </c>
      <c r="C612" s="6"/>
      <c r="D612" s="7">
        <v>45419.0</v>
      </c>
      <c r="E612" s="7">
        <v>45456.0</v>
      </c>
      <c r="F612" s="7">
        <v>45456.0</v>
      </c>
    </row>
    <row r="613">
      <c r="A613" s="4" t="s">
        <v>1227</v>
      </c>
      <c r="B613" s="5" t="s">
        <v>1228</v>
      </c>
      <c r="C613" s="6"/>
      <c r="D613" s="7">
        <v>45419.0</v>
      </c>
      <c r="E613" s="7">
        <v>45820.0</v>
      </c>
      <c r="F613" s="7">
        <v>45820.0</v>
      </c>
    </row>
    <row r="614">
      <c r="A614" s="4" t="s">
        <v>1229</v>
      </c>
      <c r="B614" s="5" t="s">
        <v>1230</v>
      </c>
      <c r="C614" s="6"/>
      <c r="D614" s="7">
        <v>45419.0</v>
      </c>
      <c r="E614" s="7">
        <v>45820.0</v>
      </c>
      <c r="F614" s="7">
        <v>45820.0</v>
      </c>
    </row>
    <row r="615">
      <c r="A615" s="4" t="s">
        <v>1231</v>
      </c>
      <c r="B615" s="5" t="s">
        <v>1232</v>
      </c>
      <c r="C615" s="6"/>
      <c r="D615" s="7">
        <v>45419.0</v>
      </c>
      <c r="E615" s="7">
        <v>45820.0</v>
      </c>
      <c r="F615" s="7">
        <v>45820.0</v>
      </c>
    </row>
    <row r="616">
      <c r="A616" s="4" t="s">
        <v>1233</v>
      </c>
      <c r="B616" s="5" t="s">
        <v>1234</v>
      </c>
      <c r="C616" s="6"/>
      <c r="D616" s="7">
        <v>45419.0</v>
      </c>
      <c r="E616" s="7">
        <v>45820.0</v>
      </c>
      <c r="F616" s="7">
        <v>45820.0</v>
      </c>
    </row>
    <row r="617">
      <c r="A617" s="4" t="s">
        <v>1235</v>
      </c>
      <c r="B617" s="5" t="s">
        <v>1236</v>
      </c>
      <c r="C617" s="6"/>
      <c r="D617" s="7">
        <v>45419.0</v>
      </c>
      <c r="E617" s="7">
        <v>45820.0</v>
      </c>
      <c r="F617" s="7">
        <v>45820.0</v>
      </c>
    </row>
    <row r="618">
      <c r="A618" s="4" t="s">
        <v>1237</v>
      </c>
      <c r="B618" s="5" t="s">
        <v>1238</v>
      </c>
      <c r="C618" s="6"/>
      <c r="D618" s="7">
        <v>45419.0</v>
      </c>
      <c r="E618" s="7">
        <v>45820.0</v>
      </c>
      <c r="F618" s="7">
        <v>45820.0</v>
      </c>
    </row>
    <row r="619">
      <c r="A619" s="4" t="s">
        <v>1239</v>
      </c>
      <c r="B619" s="5" t="s">
        <v>1240</v>
      </c>
      <c r="C619" s="6"/>
      <c r="D619" s="7">
        <v>45419.0</v>
      </c>
      <c r="E619" s="7">
        <v>45820.0</v>
      </c>
      <c r="F619" s="7">
        <v>45820.0</v>
      </c>
    </row>
    <row r="620">
      <c r="A620" s="4" t="s">
        <v>1241</v>
      </c>
      <c r="B620" s="5" t="s">
        <v>1242</v>
      </c>
      <c r="C620" s="6"/>
      <c r="D620" s="7">
        <v>45419.0</v>
      </c>
      <c r="E620" s="7">
        <v>45817.0</v>
      </c>
      <c r="F620" s="7">
        <v>45817.0</v>
      </c>
    </row>
    <row r="621">
      <c r="A621" s="4" t="s">
        <v>1243</v>
      </c>
      <c r="B621" s="5" t="s">
        <v>1244</v>
      </c>
      <c r="C621" s="6"/>
      <c r="D621" s="7">
        <v>45419.0</v>
      </c>
      <c r="E621" s="7">
        <v>45820.0</v>
      </c>
      <c r="F621" s="7">
        <v>45820.0</v>
      </c>
    </row>
    <row r="622">
      <c r="A622" s="4" t="s">
        <v>1245</v>
      </c>
      <c r="B622" s="5" t="s">
        <v>1246</v>
      </c>
      <c r="C622" s="6"/>
      <c r="D622" s="7">
        <v>45419.0</v>
      </c>
      <c r="E622" s="7">
        <v>45820.0</v>
      </c>
      <c r="F622" s="7">
        <v>45820.0</v>
      </c>
    </row>
    <row r="623">
      <c r="A623" s="4" t="s">
        <v>1247</v>
      </c>
      <c r="B623" s="5" t="s">
        <v>1248</v>
      </c>
      <c r="C623" s="6"/>
      <c r="D623" s="7">
        <v>45419.0</v>
      </c>
      <c r="E623" s="7">
        <v>45820.0</v>
      </c>
      <c r="F623" s="7">
        <v>45820.0</v>
      </c>
    </row>
    <row r="624">
      <c r="A624" s="4" t="s">
        <v>1249</v>
      </c>
      <c r="B624" s="5" t="s">
        <v>1250</v>
      </c>
      <c r="C624" s="6"/>
      <c r="D624" s="7">
        <v>45419.0</v>
      </c>
      <c r="E624" s="7">
        <v>45820.0</v>
      </c>
      <c r="F624" s="7">
        <v>45820.0</v>
      </c>
    </row>
    <row r="625">
      <c r="A625" s="4" t="s">
        <v>1251</v>
      </c>
      <c r="B625" s="5" t="s">
        <v>1252</v>
      </c>
      <c r="C625" s="6"/>
      <c r="D625" s="7">
        <v>45419.0</v>
      </c>
      <c r="E625" s="7">
        <v>45820.0</v>
      </c>
      <c r="F625" s="7">
        <v>45820.0</v>
      </c>
    </row>
    <row r="626">
      <c r="A626" s="4" t="s">
        <v>1253</v>
      </c>
      <c r="B626" s="5" t="s">
        <v>1254</v>
      </c>
      <c r="C626" s="6"/>
      <c r="D626" s="7">
        <v>45419.0</v>
      </c>
      <c r="E626" s="7">
        <v>45820.0</v>
      </c>
      <c r="F626" s="7">
        <v>45820.0</v>
      </c>
    </row>
    <row r="627">
      <c r="A627" s="4" t="s">
        <v>1255</v>
      </c>
      <c r="B627" s="5" t="s">
        <v>1256</v>
      </c>
      <c r="C627" s="6"/>
      <c r="D627" s="7">
        <v>45419.0</v>
      </c>
      <c r="E627" s="7">
        <v>45820.0</v>
      </c>
      <c r="F627" s="7">
        <v>45820.0</v>
      </c>
    </row>
    <row r="628">
      <c r="A628" s="4" t="s">
        <v>1257</v>
      </c>
      <c r="B628" s="5" t="s">
        <v>1258</v>
      </c>
      <c r="C628" s="6"/>
      <c r="D628" s="7">
        <v>45419.0</v>
      </c>
      <c r="E628" s="7">
        <v>45825.0</v>
      </c>
      <c r="F628" s="7">
        <v>45825.0</v>
      </c>
    </row>
    <row r="629">
      <c r="A629" s="4" t="s">
        <v>1259</v>
      </c>
      <c r="B629" s="5" t="s">
        <v>1260</v>
      </c>
      <c r="C629" s="6"/>
      <c r="D629" s="7">
        <v>45419.0</v>
      </c>
      <c r="E629" s="7">
        <v>45820.0</v>
      </c>
      <c r="F629" s="7">
        <v>45820.0</v>
      </c>
    </row>
    <row r="630">
      <c r="A630" s="4" t="s">
        <v>1261</v>
      </c>
      <c r="B630" s="5" t="s">
        <v>1262</v>
      </c>
      <c r="C630" s="6"/>
      <c r="D630" s="7">
        <v>45419.0</v>
      </c>
      <c r="E630" s="7">
        <v>45813.0</v>
      </c>
      <c r="F630" s="7">
        <v>45813.0</v>
      </c>
    </row>
    <row r="631">
      <c r="A631" s="4" t="s">
        <v>1263</v>
      </c>
      <c r="B631" s="5" t="s">
        <v>1264</v>
      </c>
      <c r="C631" s="6"/>
      <c r="D631" s="7">
        <v>45419.0</v>
      </c>
      <c r="E631" s="7">
        <v>45820.0</v>
      </c>
      <c r="F631" s="7">
        <v>45820.0</v>
      </c>
    </row>
    <row r="632">
      <c r="A632" s="4" t="s">
        <v>1265</v>
      </c>
      <c r="B632" s="5" t="s">
        <v>1266</v>
      </c>
      <c r="C632" s="6"/>
      <c r="D632" s="7">
        <v>45419.0</v>
      </c>
      <c r="E632" s="7">
        <v>45820.0</v>
      </c>
      <c r="F632" s="7">
        <v>45820.0</v>
      </c>
    </row>
    <row r="633">
      <c r="A633" s="4" t="s">
        <v>1267</v>
      </c>
      <c r="B633" s="5" t="s">
        <v>1268</v>
      </c>
      <c r="C633" s="6"/>
      <c r="D633" s="7">
        <v>45419.0</v>
      </c>
      <c r="E633" s="7">
        <v>45818.0</v>
      </c>
      <c r="F633" s="7">
        <v>45818.0</v>
      </c>
    </row>
    <row r="634">
      <c r="A634" s="4" t="s">
        <v>1269</v>
      </c>
      <c r="B634" s="5" t="s">
        <v>1270</v>
      </c>
      <c r="C634" s="6"/>
      <c r="D634" s="7">
        <v>45419.0</v>
      </c>
      <c r="E634" s="7">
        <v>45820.0</v>
      </c>
      <c r="F634" s="7">
        <v>45820.0</v>
      </c>
    </row>
    <row r="635">
      <c r="A635" s="4" t="s">
        <v>1271</v>
      </c>
      <c r="B635" s="5" t="s">
        <v>1272</v>
      </c>
      <c r="C635" s="6"/>
      <c r="D635" s="7">
        <v>45419.0</v>
      </c>
      <c r="E635" s="7">
        <v>45826.0</v>
      </c>
      <c r="F635" s="7">
        <v>45826.0</v>
      </c>
    </row>
    <row r="636">
      <c r="A636" s="4" t="s">
        <v>1273</v>
      </c>
      <c r="B636" s="5" t="s">
        <v>1274</v>
      </c>
      <c r="C636" s="6"/>
      <c r="D636" s="7">
        <v>45419.0</v>
      </c>
      <c r="E636" s="7">
        <v>45821.0</v>
      </c>
      <c r="F636" s="7">
        <v>45821.0</v>
      </c>
    </row>
    <row r="637">
      <c r="A637" s="4" t="s">
        <v>1275</v>
      </c>
      <c r="B637" s="5" t="s">
        <v>1276</v>
      </c>
      <c r="C637" s="6"/>
      <c r="D637" s="7">
        <v>45419.0</v>
      </c>
      <c r="E637" s="7">
        <v>45819.0</v>
      </c>
      <c r="F637" s="7">
        <v>45819.0</v>
      </c>
    </row>
    <row r="638">
      <c r="A638" s="4" t="s">
        <v>1277</v>
      </c>
      <c r="B638" s="5" t="s">
        <v>1278</v>
      </c>
      <c r="C638" s="6"/>
      <c r="D638" s="7">
        <v>45419.0</v>
      </c>
      <c r="E638" s="7">
        <v>45813.0</v>
      </c>
      <c r="F638" s="7">
        <v>45813.0</v>
      </c>
    </row>
    <row r="639">
      <c r="A639" s="4" t="s">
        <v>1279</v>
      </c>
      <c r="B639" s="5" t="s">
        <v>1280</v>
      </c>
      <c r="C639" s="6"/>
      <c r="D639" s="7">
        <v>45419.0</v>
      </c>
      <c r="E639" s="7">
        <v>45821.0</v>
      </c>
      <c r="F639" s="7">
        <v>45821.0</v>
      </c>
    </row>
    <row r="640">
      <c r="A640" s="4" t="s">
        <v>1281</v>
      </c>
      <c r="B640" s="5" t="s">
        <v>1282</v>
      </c>
      <c r="C640" s="6"/>
      <c r="D640" s="7">
        <v>45419.0</v>
      </c>
      <c r="E640" s="7">
        <v>45820.0</v>
      </c>
      <c r="F640" s="7">
        <v>45820.0</v>
      </c>
    </row>
    <row r="641">
      <c r="A641" s="4" t="s">
        <v>1283</v>
      </c>
      <c r="B641" s="5" t="s">
        <v>1284</v>
      </c>
      <c r="C641" s="6"/>
      <c r="D641" s="7">
        <v>45419.0</v>
      </c>
      <c r="E641" s="7">
        <v>45820.0</v>
      </c>
      <c r="F641" s="7">
        <v>45820.0</v>
      </c>
    </row>
    <row r="642">
      <c r="A642" s="4" t="s">
        <v>1285</v>
      </c>
      <c r="B642" s="5" t="s">
        <v>1286</v>
      </c>
      <c r="C642" s="6"/>
      <c r="D642" s="7">
        <v>45419.0</v>
      </c>
      <c r="E642" s="7">
        <v>45820.0</v>
      </c>
      <c r="F642" s="7">
        <v>45820.0</v>
      </c>
    </row>
    <row r="643">
      <c r="A643" s="4" t="s">
        <v>1287</v>
      </c>
      <c r="B643" s="5" t="s">
        <v>1288</v>
      </c>
      <c r="C643" s="6"/>
      <c r="D643" s="7">
        <v>45419.0</v>
      </c>
      <c r="E643" s="7">
        <v>45834.0</v>
      </c>
      <c r="F643" s="7">
        <v>45834.0</v>
      </c>
    </row>
    <row r="644">
      <c r="A644" s="4" t="s">
        <v>1289</v>
      </c>
      <c r="B644" s="5" t="s">
        <v>1290</v>
      </c>
      <c r="C644" s="6"/>
      <c r="D644" s="7">
        <v>45419.0</v>
      </c>
      <c r="E644" s="7">
        <v>45813.0</v>
      </c>
      <c r="F644" s="7">
        <v>45813.0</v>
      </c>
    </row>
    <row r="645">
      <c r="A645" s="4" t="s">
        <v>1291</v>
      </c>
      <c r="B645" s="5" t="s">
        <v>1292</v>
      </c>
      <c r="C645" s="6"/>
      <c r="D645" s="7">
        <v>45419.0</v>
      </c>
      <c r="E645" s="7">
        <v>45828.0</v>
      </c>
      <c r="F645" s="7">
        <v>45828.0</v>
      </c>
    </row>
    <row r="646">
      <c r="A646" s="4" t="s">
        <v>1293</v>
      </c>
      <c r="B646" s="5" t="s">
        <v>1294</v>
      </c>
      <c r="C646" s="6"/>
      <c r="D646" s="7">
        <v>45419.0</v>
      </c>
      <c r="E646" s="7">
        <v>45819.0</v>
      </c>
      <c r="F646" s="7">
        <v>45819.0</v>
      </c>
    </row>
    <row r="647">
      <c r="A647" s="4" t="s">
        <v>1295</v>
      </c>
      <c r="B647" s="5" t="s">
        <v>1296</v>
      </c>
      <c r="C647" s="6"/>
      <c r="D647" s="7">
        <v>45419.0</v>
      </c>
      <c r="E647" s="7">
        <v>45820.0</v>
      </c>
      <c r="F647" s="7">
        <v>45820.0</v>
      </c>
    </row>
    <row r="648">
      <c r="A648" s="4" t="s">
        <v>1297</v>
      </c>
      <c r="B648" s="5" t="s">
        <v>1298</v>
      </c>
      <c r="C648" s="6"/>
      <c r="D648" s="7">
        <v>45419.0</v>
      </c>
      <c r="E648" s="7">
        <v>45820.0</v>
      </c>
      <c r="F648" s="7">
        <v>45820.0</v>
      </c>
    </row>
    <row r="649">
      <c r="A649" s="4" t="s">
        <v>1299</v>
      </c>
      <c r="B649" s="5" t="s">
        <v>1300</v>
      </c>
      <c r="C649" s="6"/>
      <c r="D649" s="7">
        <v>45419.0</v>
      </c>
      <c r="E649" s="7">
        <v>45820.0</v>
      </c>
      <c r="F649" s="7">
        <v>45820.0</v>
      </c>
    </row>
    <row r="650">
      <c r="A650" s="4" t="s">
        <v>1301</v>
      </c>
      <c r="B650" s="5" t="s">
        <v>1302</v>
      </c>
      <c r="C650" s="6"/>
      <c r="D650" s="7">
        <v>45419.0</v>
      </c>
      <c r="E650" s="7">
        <v>45820.0</v>
      </c>
      <c r="F650" s="7">
        <v>45820.0</v>
      </c>
    </row>
    <row r="651">
      <c r="A651" s="4" t="s">
        <v>1303</v>
      </c>
      <c r="B651" s="5" t="s">
        <v>1304</v>
      </c>
      <c r="C651" s="6"/>
      <c r="D651" s="7">
        <v>45054.0</v>
      </c>
      <c r="E651" s="7">
        <v>45826.0</v>
      </c>
      <c r="F651" s="7">
        <v>45826.0</v>
      </c>
    </row>
    <row r="652">
      <c r="A652" s="4" t="s">
        <v>1305</v>
      </c>
      <c r="B652" s="5" t="s">
        <v>1306</v>
      </c>
      <c r="C652" s="6"/>
      <c r="D652" s="7">
        <v>45420.0</v>
      </c>
      <c r="E652" s="7">
        <v>45826.0</v>
      </c>
      <c r="F652" s="7">
        <v>45826.0</v>
      </c>
    </row>
    <row r="653">
      <c r="A653" s="4" t="s">
        <v>1307</v>
      </c>
      <c r="B653" s="5" t="s">
        <v>1308</v>
      </c>
      <c r="C653" s="6"/>
      <c r="D653" s="7">
        <v>45420.0</v>
      </c>
      <c r="E653" s="7">
        <v>45820.0</v>
      </c>
      <c r="F653" s="7">
        <v>45820.0</v>
      </c>
    </row>
    <row r="654">
      <c r="A654" s="4" t="s">
        <v>1309</v>
      </c>
      <c r="B654" s="5" t="s">
        <v>1310</v>
      </c>
      <c r="C654" s="6"/>
      <c r="D654" s="7">
        <v>45420.0</v>
      </c>
      <c r="E654" s="7">
        <v>45825.0</v>
      </c>
      <c r="F654" s="7">
        <v>45825.0</v>
      </c>
    </row>
    <row r="655">
      <c r="A655" s="4" t="s">
        <v>1311</v>
      </c>
      <c r="B655" s="5" t="s">
        <v>1312</v>
      </c>
      <c r="C655" s="6"/>
      <c r="D655" s="7">
        <v>45420.0</v>
      </c>
      <c r="E655" s="7">
        <v>45813.0</v>
      </c>
      <c r="F655" s="7">
        <v>45813.0</v>
      </c>
    </row>
    <row r="656">
      <c r="A656" s="4" t="s">
        <v>1313</v>
      </c>
      <c r="B656" s="5" t="s">
        <v>1314</v>
      </c>
      <c r="C656" s="6"/>
      <c r="D656" s="7">
        <v>45420.0</v>
      </c>
      <c r="E656" s="7">
        <v>45792.0</v>
      </c>
      <c r="F656" s="7">
        <v>45792.0</v>
      </c>
    </row>
    <row r="657">
      <c r="A657" s="4" t="s">
        <v>1315</v>
      </c>
      <c r="B657" s="5" t="s">
        <v>1316</v>
      </c>
      <c r="C657" s="6"/>
      <c r="D657" s="7">
        <v>45420.0</v>
      </c>
      <c r="E657" s="7">
        <v>45820.0</v>
      </c>
      <c r="F657" s="7">
        <v>45820.0</v>
      </c>
    </row>
    <row r="658">
      <c r="A658" s="4" t="s">
        <v>1317</v>
      </c>
      <c r="B658" s="5" t="s">
        <v>1318</v>
      </c>
      <c r="C658" s="6"/>
      <c r="D658" s="7">
        <v>45420.0</v>
      </c>
      <c r="E658" s="7">
        <v>45456.0</v>
      </c>
      <c r="F658" s="7">
        <v>45456.0</v>
      </c>
    </row>
    <row r="659">
      <c r="A659" s="4" t="s">
        <v>1319</v>
      </c>
      <c r="B659" s="5" t="s">
        <v>1320</v>
      </c>
      <c r="C659" s="6"/>
      <c r="D659" s="7">
        <v>45420.0</v>
      </c>
      <c r="E659" s="7">
        <v>45820.0</v>
      </c>
      <c r="F659" s="7">
        <v>45820.0</v>
      </c>
    </row>
    <row r="660">
      <c r="A660" s="4" t="s">
        <v>1321</v>
      </c>
      <c r="B660" s="5" t="s">
        <v>1322</v>
      </c>
      <c r="C660" s="6"/>
      <c r="D660" s="7">
        <v>45420.0</v>
      </c>
      <c r="E660" s="7">
        <v>45826.0</v>
      </c>
      <c r="F660" s="7">
        <v>45826.0</v>
      </c>
    </row>
    <row r="661">
      <c r="A661" s="4" t="s">
        <v>1323</v>
      </c>
      <c r="B661" s="5" t="s">
        <v>1324</v>
      </c>
      <c r="C661" s="6"/>
      <c r="D661" s="7">
        <v>45420.0</v>
      </c>
      <c r="E661" s="7">
        <v>45812.0</v>
      </c>
      <c r="F661" s="7">
        <v>45812.0</v>
      </c>
    </row>
    <row r="662">
      <c r="A662" s="4" t="s">
        <v>1325</v>
      </c>
      <c r="B662" s="5" t="s">
        <v>1326</v>
      </c>
      <c r="C662" s="6"/>
      <c r="D662" s="7">
        <v>45420.0</v>
      </c>
      <c r="E662" s="7">
        <v>45819.0</v>
      </c>
      <c r="F662" s="7">
        <v>45819.0</v>
      </c>
    </row>
    <row r="663">
      <c r="A663" s="4" t="s">
        <v>1327</v>
      </c>
      <c r="B663" s="5" t="s">
        <v>1328</v>
      </c>
      <c r="C663" s="6"/>
      <c r="D663" s="7">
        <v>45420.0</v>
      </c>
      <c r="E663" s="7">
        <v>45821.0</v>
      </c>
      <c r="F663" s="7">
        <v>45821.0</v>
      </c>
    </row>
    <row r="664">
      <c r="A664" s="4" t="s">
        <v>1329</v>
      </c>
      <c r="B664" s="5" t="s">
        <v>1330</v>
      </c>
      <c r="C664" s="6"/>
      <c r="D664" s="7">
        <v>45420.0</v>
      </c>
      <c r="E664" s="7">
        <v>45798.0</v>
      </c>
      <c r="F664" s="7">
        <v>45798.0</v>
      </c>
    </row>
    <row r="665">
      <c r="A665" s="4" t="s">
        <v>1331</v>
      </c>
      <c r="B665" s="5" t="s">
        <v>1332</v>
      </c>
      <c r="C665" s="6"/>
      <c r="D665" s="7">
        <v>45420.0</v>
      </c>
      <c r="E665" s="7">
        <v>45820.0</v>
      </c>
      <c r="F665" s="7">
        <v>45820.0</v>
      </c>
    </row>
    <row r="666">
      <c r="A666" s="4" t="s">
        <v>1333</v>
      </c>
      <c r="B666" s="5" t="s">
        <v>1334</v>
      </c>
      <c r="C666" s="6"/>
      <c r="D666" s="7">
        <v>45420.0</v>
      </c>
      <c r="E666" s="7">
        <v>45811.0</v>
      </c>
      <c r="F666" s="7">
        <v>45811.0</v>
      </c>
    </row>
    <row r="667">
      <c r="A667" s="4" t="s">
        <v>1335</v>
      </c>
      <c r="B667" s="5" t="s">
        <v>1336</v>
      </c>
      <c r="C667" s="6"/>
      <c r="D667" s="7">
        <v>45420.0</v>
      </c>
      <c r="E667" s="7">
        <v>45847.0</v>
      </c>
      <c r="F667" s="7">
        <v>45847.0</v>
      </c>
    </row>
    <row r="668">
      <c r="A668" s="4" t="s">
        <v>1337</v>
      </c>
      <c r="B668" s="5" t="s">
        <v>1338</v>
      </c>
      <c r="C668" s="6"/>
      <c r="D668" s="7">
        <v>45420.0</v>
      </c>
      <c r="E668" s="7">
        <v>45820.0</v>
      </c>
      <c r="F668" s="7">
        <v>45820.0</v>
      </c>
    </row>
    <row r="669">
      <c r="A669" s="4" t="s">
        <v>1339</v>
      </c>
      <c r="B669" s="5" t="s">
        <v>1340</v>
      </c>
      <c r="C669" s="6"/>
      <c r="D669" s="7">
        <v>45420.0</v>
      </c>
      <c r="E669" s="7">
        <v>45456.0</v>
      </c>
      <c r="F669" s="7">
        <v>45456.0</v>
      </c>
    </row>
    <row r="670">
      <c r="A670" s="4" t="s">
        <v>1341</v>
      </c>
      <c r="B670" s="5" t="s">
        <v>1342</v>
      </c>
      <c r="C670" s="6"/>
      <c r="D670" s="7">
        <v>45420.0</v>
      </c>
      <c r="E670" s="7">
        <v>45819.0</v>
      </c>
      <c r="F670" s="7">
        <v>45819.0</v>
      </c>
    </row>
    <row r="671">
      <c r="A671" s="4" t="s">
        <v>1343</v>
      </c>
      <c r="B671" s="5" t="s">
        <v>1344</v>
      </c>
      <c r="C671" s="6"/>
      <c r="D671" s="7">
        <v>45420.0</v>
      </c>
      <c r="E671" s="7">
        <v>45820.0</v>
      </c>
      <c r="F671" s="7">
        <v>45820.0</v>
      </c>
    </row>
    <row r="672">
      <c r="A672" s="4" t="s">
        <v>1345</v>
      </c>
      <c r="B672" s="5" t="s">
        <v>1346</v>
      </c>
      <c r="C672" s="6"/>
      <c r="D672" s="7">
        <v>45420.0</v>
      </c>
      <c r="E672" s="7">
        <v>45818.0</v>
      </c>
      <c r="F672" s="7">
        <v>45818.0</v>
      </c>
    </row>
    <row r="673">
      <c r="A673" s="4" t="s">
        <v>1347</v>
      </c>
      <c r="B673" s="5" t="s">
        <v>1348</v>
      </c>
      <c r="C673" s="6"/>
      <c r="D673" s="7">
        <v>45420.0</v>
      </c>
      <c r="E673" s="7">
        <v>45818.0</v>
      </c>
      <c r="F673" s="7">
        <v>45818.0</v>
      </c>
    </row>
    <row r="674">
      <c r="A674" s="4" t="s">
        <v>1349</v>
      </c>
      <c r="B674" s="5" t="s">
        <v>1350</v>
      </c>
      <c r="C674" s="6"/>
      <c r="D674" s="7">
        <v>45420.0</v>
      </c>
      <c r="E674" s="7">
        <v>45819.0</v>
      </c>
      <c r="F674" s="7">
        <v>45819.0</v>
      </c>
    </row>
    <row r="675">
      <c r="A675" s="4" t="s">
        <v>1351</v>
      </c>
      <c r="B675" s="5" t="s">
        <v>1352</v>
      </c>
      <c r="C675" s="6"/>
      <c r="D675" s="7">
        <v>45420.0</v>
      </c>
      <c r="E675" s="7">
        <v>45820.0</v>
      </c>
      <c r="F675" s="7">
        <v>45820.0</v>
      </c>
    </row>
    <row r="676">
      <c r="A676" s="4" t="s">
        <v>1353</v>
      </c>
      <c r="B676" s="5" t="s">
        <v>1354</v>
      </c>
      <c r="C676" s="6"/>
      <c r="D676" s="7">
        <v>45420.0</v>
      </c>
      <c r="E676" s="7">
        <v>45456.0</v>
      </c>
      <c r="F676" s="7">
        <v>45456.0</v>
      </c>
    </row>
    <row r="677">
      <c r="A677" s="4" t="s">
        <v>1355</v>
      </c>
      <c r="B677" s="5" t="s">
        <v>1356</v>
      </c>
      <c r="C677" s="6"/>
      <c r="D677" s="7">
        <v>45420.0</v>
      </c>
      <c r="E677" s="7">
        <v>45818.0</v>
      </c>
      <c r="F677" s="7">
        <v>45818.0</v>
      </c>
    </row>
    <row r="678">
      <c r="A678" s="4" t="s">
        <v>1357</v>
      </c>
      <c r="B678" s="5" t="s">
        <v>1358</v>
      </c>
      <c r="C678" s="6"/>
      <c r="D678" s="7">
        <v>45420.0</v>
      </c>
      <c r="E678" s="7">
        <v>45826.0</v>
      </c>
      <c r="F678" s="7">
        <v>45826.0</v>
      </c>
    </row>
    <row r="679">
      <c r="A679" s="4" t="s">
        <v>1359</v>
      </c>
      <c r="B679" s="5" t="s">
        <v>1360</v>
      </c>
      <c r="C679" s="6"/>
      <c r="D679" s="7">
        <v>45420.0</v>
      </c>
      <c r="E679" s="7">
        <v>45820.0</v>
      </c>
      <c r="F679" s="7">
        <v>45820.0</v>
      </c>
    </row>
    <row r="680">
      <c r="A680" s="4" t="s">
        <v>1361</v>
      </c>
      <c r="B680" s="5" t="s">
        <v>1362</v>
      </c>
      <c r="C680" s="6"/>
      <c r="D680" s="7">
        <v>45420.0</v>
      </c>
      <c r="E680" s="7">
        <v>45813.0</v>
      </c>
      <c r="F680" s="7">
        <v>45813.0</v>
      </c>
    </row>
    <row r="681">
      <c r="A681" s="4" t="s">
        <v>1363</v>
      </c>
      <c r="B681" s="5" t="s">
        <v>1364</v>
      </c>
      <c r="C681" s="6"/>
      <c r="D681" s="7">
        <v>45420.0</v>
      </c>
      <c r="E681" s="7">
        <v>45813.0</v>
      </c>
      <c r="F681" s="7">
        <v>45813.0</v>
      </c>
    </row>
    <row r="682">
      <c r="A682" s="4" t="s">
        <v>1365</v>
      </c>
      <c r="B682" s="5" t="s">
        <v>1366</v>
      </c>
      <c r="C682" s="6"/>
      <c r="D682" s="7">
        <v>45420.0</v>
      </c>
      <c r="E682" s="7">
        <v>45820.0</v>
      </c>
      <c r="F682" s="7">
        <v>45820.0</v>
      </c>
    </row>
    <row r="683">
      <c r="A683" s="4" t="s">
        <v>1367</v>
      </c>
      <c r="B683" s="5" t="s">
        <v>1368</v>
      </c>
      <c r="C683" s="6"/>
      <c r="D683" s="7">
        <v>45420.0</v>
      </c>
      <c r="E683" s="7">
        <v>45819.0</v>
      </c>
      <c r="F683" s="7">
        <v>45819.0</v>
      </c>
    </row>
    <row r="684">
      <c r="A684" s="4" t="s">
        <v>1369</v>
      </c>
      <c r="B684" s="5" t="s">
        <v>1370</v>
      </c>
      <c r="C684" s="6"/>
      <c r="D684" s="7">
        <v>45420.0</v>
      </c>
      <c r="E684" s="7">
        <v>45814.0</v>
      </c>
      <c r="F684" s="7">
        <v>45814.0</v>
      </c>
    </row>
    <row r="685">
      <c r="A685" s="4" t="s">
        <v>1371</v>
      </c>
      <c r="B685" s="5" t="s">
        <v>1372</v>
      </c>
      <c r="C685" s="6"/>
      <c r="D685" s="7">
        <v>45420.0</v>
      </c>
      <c r="E685" s="7">
        <v>45819.0</v>
      </c>
      <c r="F685" s="7">
        <v>45819.0</v>
      </c>
    </row>
    <row r="686">
      <c r="A686" s="4" t="s">
        <v>1373</v>
      </c>
      <c r="B686" s="5" t="s">
        <v>1374</v>
      </c>
      <c r="C686" s="6"/>
      <c r="D686" s="7">
        <v>45420.0</v>
      </c>
      <c r="E686" s="7">
        <v>45818.0</v>
      </c>
      <c r="F686" s="7">
        <v>45818.0</v>
      </c>
    </row>
    <row r="687">
      <c r="A687" s="4" t="s">
        <v>1375</v>
      </c>
      <c r="B687" s="5" t="s">
        <v>1376</v>
      </c>
      <c r="C687" s="6"/>
      <c r="D687" s="7">
        <v>45420.0</v>
      </c>
      <c r="E687" s="7">
        <v>45826.0</v>
      </c>
      <c r="F687" s="7">
        <v>45826.0</v>
      </c>
    </row>
    <row r="688">
      <c r="A688" s="4" t="s">
        <v>1377</v>
      </c>
      <c r="B688" s="5" t="s">
        <v>1378</v>
      </c>
      <c r="C688" s="6"/>
      <c r="D688" s="7">
        <v>45420.0</v>
      </c>
      <c r="E688" s="7">
        <v>45819.0</v>
      </c>
      <c r="F688" s="7">
        <v>45819.0</v>
      </c>
    </row>
    <row r="689">
      <c r="A689" s="4" t="s">
        <v>1379</v>
      </c>
      <c r="B689" s="5" t="s">
        <v>1380</v>
      </c>
      <c r="C689" s="6"/>
      <c r="D689" s="7">
        <v>45420.0</v>
      </c>
      <c r="E689" s="7">
        <v>45820.0</v>
      </c>
      <c r="F689" s="7">
        <v>45820.0</v>
      </c>
    </row>
    <row r="690">
      <c r="A690" s="4" t="s">
        <v>1381</v>
      </c>
      <c r="B690" s="5" t="s">
        <v>1382</v>
      </c>
      <c r="C690" s="6"/>
      <c r="D690" s="7">
        <v>45420.0</v>
      </c>
      <c r="E690" s="7">
        <v>45821.0</v>
      </c>
      <c r="F690" s="7">
        <v>45821.0</v>
      </c>
    </row>
    <row r="691">
      <c r="A691" s="4" t="s">
        <v>1383</v>
      </c>
      <c r="B691" s="5" t="s">
        <v>1384</v>
      </c>
      <c r="C691" s="6"/>
      <c r="D691" s="7">
        <v>45420.0</v>
      </c>
      <c r="E691" s="7">
        <v>45819.0</v>
      </c>
      <c r="F691" s="7">
        <v>45819.0</v>
      </c>
    </row>
    <row r="692">
      <c r="A692" s="4" t="s">
        <v>1385</v>
      </c>
      <c r="B692" s="5" t="s">
        <v>1386</v>
      </c>
      <c r="C692" s="6"/>
      <c r="D692" s="7">
        <v>45420.0</v>
      </c>
      <c r="E692" s="7">
        <v>45819.0</v>
      </c>
      <c r="F692" s="7">
        <v>45819.0</v>
      </c>
    </row>
    <row r="693">
      <c r="A693" s="4" t="s">
        <v>1387</v>
      </c>
      <c r="B693" s="5" t="s">
        <v>1388</v>
      </c>
      <c r="C693" s="6"/>
      <c r="D693" s="7">
        <v>45420.0</v>
      </c>
      <c r="E693" s="7">
        <v>45819.0</v>
      </c>
      <c r="F693" s="7">
        <v>45819.0</v>
      </c>
    </row>
    <row r="694">
      <c r="A694" s="4" t="s">
        <v>1389</v>
      </c>
      <c r="B694" s="5" t="s">
        <v>1390</v>
      </c>
      <c r="C694" s="6"/>
      <c r="D694" s="7">
        <v>45420.0</v>
      </c>
      <c r="E694" s="7">
        <v>45819.0</v>
      </c>
      <c r="F694" s="7">
        <v>45819.0</v>
      </c>
    </row>
    <row r="695">
      <c r="A695" s="4" t="s">
        <v>1391</v>
      </c>
      <c r="B695" s="5" t="s">
        <v>1392</v>
      </c>
      <c r="C695" s="6"/>
      <c r="D695" s="7">
        <v>45420.0</v>
      </c>
      <c r="E695" s="7">
        <v>45818.0</v>
      </c>
      <c r="F695" s="7">
        <v>45818.0</v>
      </c>
    </row>
    <row r="696">
      <c r="A696" s="4" t="s">
        <v>1393</v>
      </c>
      <c r="B696" s="5" t="s">
        <v>1394</v>
      </c>
      <c r="C696" s="6"/>
      <c r="D696" s="7">
        <v>45420.0</v>
      </c>
      <c r="E696" s="7">
        <v>45820.0</v>
      </c>
      <c r="F696" s="7">
        <v>45820.0</v>
      </c>
    </row>
    <row r="697">
      <c r="A697" s="4" t="s">
        <v>1395</v>
      </c>
      <c r="B697" s="5" t="s">
        <v>1396</v>
      </c>
      <c r="C697" s="6"/>
      <c r="D697" s="7">
        <v>45420.0</v>
      </c>
      <c r="E697" s="7">
        <v>45455.0</v>
      </c>
      <c r="F697" s="7">
        <v>45455.0</v>
      </c>
    </row>
    <row r="698">
      <c r="A698" s="4" t="s">
        <v>1397</v>
      </c>
      <c r="B698" s="5" t="s">
        <v>1398</v>
      </c>
      <c r="C698" s="6"/>
      <c r="D698" s="7">
        <v>45420.0</v>
      </c>
      <c r="E698" s="7">
        <v>45819.0</v>
      </c>
      <c r="F698" s="7">
        <v>45819.0</v>
      </c>
    </row>
    <row r="699">
      <c r="A699" s="4" t="s">
        <v>1399</v>
      </c>
      <c r="B699" s="5" t="s">
        <v>1400</v>
      </c>
      <c r="C699" s="6"/>
      <c r="D699" s="7">
        <v>45420.0</v>
      </c>
      <c r="E699" s="7">
        <v>45819.0</v>
      </c>
      <c r="F699" s="7">
        <v>45819.0</v>
      </c>
    </row>
    <row r="700">
      <c r="A700" s="4" t="s">
        <v>1401</v>
      </c>
      <c r="B700" s="5" t="s">
        <v>1402</v>
      </c>
      <c r="C700" s="6"/>
      <c r="D700" s="7">
        <v>45420.0</v>
      </c>
      <c r="E700" s="7">
        <v>45819.0</v>
      </c>
      <c r="F700" s="7">
        <v>45819.0</v>
      </c>
    </row>
    <row r="701">
      <c r="A701" s="4" t="s">
        <v>1403</v>
      </c>
      <c r="B701" s="5" t="s">
        <v>1404</v>
      </c>
      <c r="C701" s="6"/>
      <c r="D701" s="7">
        <v>45420.0</v>
      </c>
      <c r="E701" s="7">
        <v>45800.0</v>
      </c>
      <c r="F701" s="7">
        <v>45800.0</v>
      </c>
    </row>
    <row r="702">
      <c r="A702" s="4" t="s">
        <v>1405</v>
      </c>
      <c r="B702" s="5" t="s">
        <v>1406</v>
      </c>
      <c r="C702" s="6"/>
      <c r="D702" s="7">
        <v>45420.0</v>
      </c>
      <c r="E702" s="7">
        <v>45818.0</v>
      </c>
      <c r="F702" s="7">
        <v>45818.0</v>
      </c>
    </row>
    <row r="703">
      <c r="A703" s="4" t="s">
        <v>1407</v>
      </c>
      <c r="B703" s="5" t="s">
        <v>1408</v>
      </c>
      <c r="C703" s="6"/>
      <c r="D703" s="7">
        <v>45420.0</v>
      </c>
      <c r="E703" s="7">
        <v>45826.0</v>
      </c>
      <c r="F703" s="7">
        <v>45826.0</v>
      </c>
    </row>
    <row r="704">
      <c r="A704" s="4" t="s">
        <v>1409</v>
      </c>
      <c r="B704" s="5" t="s">
        <v>1410</v>
      </c>
      <c r="C704" s="6"/>
      <c r="D704" s="7">
        <v>45420.0</v>
      </c>
      <c r="E704" s="7">
        <v>45819.0</v>
      </c>
      <c r="F704" s="7">
        <v>45819.0</v>
      </c>
    </row>
    <row r="705">
      <c r="A705" s="4" t="s">
        <v>1411</v>
      </c>
      <c r="B705" s="5" t="s">
        <v>1412</v>
      </c>
      <c r="C705" s="6"/>
      <c r="D705" s="7">
        <v>45420.0</v>
      </c>
      <c r="E705" s="7">
        <v>45818.0</v>
      </c>
      <c r="F705" s="7">
        <v>45818.0</v>
      </c>
    </row>
    <row r="706">
      <c r="A706" s="4" t="s">
        <v>1413</v>
      </c>
      <c r="B706" s="5" t="s">
        <v>1414</v>
      </c>
      <c r="C706" s="6"/>
      <c r="D706" s="7">
        <v>45420.0</v>
      </c>
      <c r="E706" s="7">
        <v>45818.0</v>
      </c>
      <c r="F706" s="7">
        <v>45818.0</v>
      </c>
    </row>
    <row r="707">
      <c r="A707" s="4" t="s">
        <v>1415</v>
      </c>
      <c r="B707" s="5" t="s">
        <v>1416</v>
      </c>
      <c r="C707" s="6"/>
      <c r="D707" s="7">
        <v>45420.0</v>
      </c>
      <c r="E707" s="7">
        <v>45812.0</v>
      </c>
      <c r="F707" s="7">
        <v>45812.0</v>
      </c>
    </row>
    <row r="708">
      <c r="A708" s="4" t="s">
        <v>1417</v>
      </c>
      <c r="B708" s="5" t="s">
        <v>1418</v>
      </c>
      <c r="C708" s="6"/>
      <c r="D708" s="7">
        <v>45055.0</v>
      </c>
      <c r="E708" s="7">
        <v>45455.0</v>
      </c>
      <c r="F708" s="7">
        <v>45455.0</v>
      </c>
    </row>
    <row r="709">
      <c r="A709" s="4" t="s">
        <v>1419</v>
      </c>
      <c r="B709" s="5" t="s">
        <v>1420</v>
      </c>
      <c r="C709" s="6"/>
      <c r="D709" s="7">
        <v>45421.0</v>
      </c>
      <c r="E709" s="7">
        <v>45819.0</v>
      </c>
      <c r="F709" s="7">
        <v>45819.0</v>
      </c>
    </row>
    <row r="710">
      <c r="A710" s="4" t="s">
        <v>1421</v>
      </c>
      <c r="B710" s="5" t="s">
        <v>1422</v>
      </c>
      <c r="C710" s="6"/>
      <c r="D710" s="7">
        <v>45421.0</v>
      </c>
      <c r="E710" s="7">
        <v>45818.0</v>
      </c>
      <c r="F710" s="7">
        <v>45818.0</v>
      </c>
    </row>
    <row r="711">
      <c r="A711" s="4" t="s">
        <v>1423</v>
      </c>
      <c r="B711" s="5" t="s">
        <v>1424</v>
      </c>
      <c r="C711" s="6"/>
      <c r="D711" s="7">
        <v>45421.0</v>
      </c>
      <c r="E711" s="7">
        <v>45819.0</v>
      </c>
      <c r="F711" s="7">
        <v>45819.0</v>
      </c>
    </row>
    <row r="712">
      <c r="A712" s="4" t="s">
        <v>1425</v>
      </c>
      <c r="B712" s="5" t="s">
        <v>1426</v>
      </c>
      <c r="C712" s="6"/>
      <c r="D712" s="7">
        <v>45421.0</v>
      </c>
      <c r="E712" s="7">
        <v>45825.0</v>
      </c>
      <c r="F712" s="7">
        <v>45825.0</v>
      </c>
    </row>
    <row r="713">
      <c r="A713" s="4" t="s">
        <v>1427</v>
      </c>
      <c r="B713" s="5" t="s">
        <v>1428</v>
      </c>
      <c r="C713" s="6"/>
      <c r="D713" s="7">
        <v>45421.0</v>
      </c>
      <c r="E713" s="7">
        <v>45819.0</v>
      </c>
      <c r="F713" s="7">
        <v>45819.0</v>
      </c>
    </row>
    <row r="714">
      <c r="A714" s="4" t="s">
        <v>1429</v>
      </c>
      <c r="B714" s="5" t="s">
        <v>1430</v>
      </c>
      <c r="C714" s="6"/>
      <c r="D714" s="7">
        <v>45421.0</v>
      </c>
      <c r="E714" s="7">
        <v>45819.0</v>
      </c>
      <c r="F714" s="7">
        <v>45819.0</v>
      </c>
    </row>
    <row r="715">
      <c r="A715" s="4" t="s">
        <v>1431</v>
      </c>
      <c r="B715" s="5" t="s">
        <v>1432</v>
      </c>
      <c r="C715" s="6"/>
      <c r="D715" s="7">
        <v>45421.0</v>
      </c>
      <c r="E715" s="7">
        <v>45826.0</v>
      </c>
      <c r="F715" s="7">
        <v>45826.0</v>
      </c>
    </row>
    <row r="716">
      <c r="A716" s="4" t="s">
        <v>1433</v>
      </c>
      <c r="B716" s="5" t="s">
        <v>1434</v>
      </c>
      <c r="C716" s="6"/>
      <c r="D716" s="7">
        <v>45421.0</v>
      </c>
      <c r="E716" s="7">
        <v>45812.0</v>
      </c>
      <c r="F716" s="7">
        <v>45812.0</v>
      </c>
    </row>
    <row r="717">
      <c r="A717" s="4" t="s">
        <v>1435</v>
      </c>
      <c r="B717" s="5" t="s">
        <v>1436</v>
      </c>
      <c r="C717" s="6"/>
      <c r="D717" s="7">
        <v>45421.0</v>
      </c>
      <c r="E717" s="7">
        <v>45820.0</v>
      </c>
      <c r="F717" s="7">
        <v>45820.0</v>
      </c>
    </row>
    <row r="718">
      <c r="A718" s="4" t="s">
        <v>1437</v>
      </c>
      <c r="B718" s="5" t="s">
        <v>1438</v>
      </c>
      <c r="C718" s="6"/>
      <c r="D718" s="7">
        <v>45421.0</v>
      </c>
      <c r="E718" s="7">
        <v>45813.0</v>
      </c>
      <c r="F718" s="7">
        <v>45813.0</v>
      </c>
    </row>
    <row r="719">
      <c r="A719" s="4" t="s">
        <v>1439</v>
      </c>
      <c r="B719" s="5" t="s">
        <v>1440</v>
      </c>
      <c r="C719" s="6"/>
      <c r="D719" s="7">
        <v>45421.0</v>
      </c>
      <c r="E719" s="7">
        <v>45826.0</v>
      </c>
      <c r="F719" s="7">
        <v>45826.0</v>
      </c>
    </row>
    <row r="720">
      <c r="A720" s="4" t="s">
        <v>1441</v>
      </c>
      <c r="B720" s="5" t="s">
        <v>1442</v>
      </c>
      <c r="C720" s="6"/>
      <c r="D720" s="7">
        <v>45421.0</v>
      </c>
      <c r="E720" s="7">
        <v>45820.0</v>
      </c>
      <c r="F720" s="7">
        <v>45820.0</v>
      </c>
    </row>
    <row r="721">
      <c r="A721" s="4" t="s">
        <v>1443</v>
      </c>
      <c r="B721" s="5" t="s">
        <v>1444</v>
      </c>
      <c r="C721" s="6"/>
      <c r="D721" s="7">
        <v>45421.0</v>
      </c>
      <c r="E721" s="7">
        <v>45819.0</v>
      </c>
      <c r="F721" s="7">
        <v>45819.0</v>
      </c>
    </row>
    <row r="722">
      <c r="A722" s="4" t="s">
        <v>1445</v>
      </c>
      <c r="B722" s="5" t="s">
        <v>1446</v>
      </c>
      <c r="C722" s="6"/>
      <c r="D722" s="7">
        <v>45421.0</v>
      </c>
      <c r="E722" s="7">
        <v>45825.0</v>
      </c>
      <c r="F722" s="7">
        <v>45825.0</v>
      </c>
    </row>
    <row r="723">
      <c r="A723" s="4" t="s">
        <v>1447</v>
      </c>
      <c r="B723" s="5" t="s">
        <v>1448</v>
      </c>
      <c r="C723" s="6"/>
      <c r="D723" s="7">
        <v>45421.0</v>
      </c>
      <c r="E723" s="7">
        <v>45819.0</v>
      </c>
      <c r="F723" s="7">
        <v>45819.0</v>
      </c>
    </row>
    <row r="724">
      <c r="A724" s="4" t="s">
        <v>1449</v>
      </c>
      <c r="B724" s="5" t="s">
        <v>1450</v>
      </c>
      <c r="C724" s="6"/>
      <c r="D724" s="7">
        <v>45421.0</v>
      </c>
      <c r="E724" s="7">
        <v>45819.0</v>
      </c>
      <c r="F724" s="7">
        <v>45819.0</v>
      </c>
    </row>
    <row r="725">
      <c r="A725" s="4" t="s">
        <v>1451</v>
      </c>
      <c r="B725" s="5" t="s">
        <v>1452</v>
      </c>
      <c r="C725" s="6"/>
      <c r="D725" s="7">
        <v>45421.0</v>
      </c>
      <c r="E725" s="7">
        <v>45818.0</v>
      </c>
      <c r="F725" s="7">
        <v>45818.0</v>
      </c>
    </row>
    <row r="726">
      <c r="A726" s="4" t="s">
        <v>1453</v>
      </c>
      <c r="B726" s="5" t="s">
        <v>1454</v>
      </c>
      <c r="C726" s="6"/>
      <c r="D726" s="7">
        <v>45421.0</v>
      </c>
      <c r="E726" s="7">
        <v>45455.0</v>
      </c>
      <c r="F726" s="7">
        <v>45455.0</v>
      </c>
    </row>
    <row r="727">
      <c r="A727" s="4" t="s">
        <v>1455</v>
      </c>
      <c r="B727" s="5" t="s">
        <v>1456</v>
      </c>
      <c r="C727" s="6"/>
      <c r="D727" s="7">
        <v>45421.0</v>
      </c>
      <c r="E727" s="7">
        <v>45819.0</v>
      </c>
      <c r="F727" s="7">
        <v>45819.0</v>
      </c>
    </row>
    <row r="728">
      <c r="A728" s="4" t="s">
        <v>1457</v>
      </c>
      <c r="B728" s="5" t="s">
        <v>1458</v>
      </c>
      <c r="C728" s="6"/>
      <c r="D728" s="7">
        <v>45421.0</v>
      </c>
      <c r="E728" s="7">
        <v>45819.0</v>
      </c>
      <c r="F728" s="7">
        <v>45819.0</v>
      </c>
    </row>
    <row r="729">
      <c r="A729" s="4" t="s">
        <v>1459</v>
      </c>
      <c r="B729" s="5" t="s">
        <v>1460</v>
      </c>
      <c r="C729" s="6"/>
      <c r="D729" s="7">
        <v>45421.0</v>
      </c>
      <c r="E729" s="7">
        <v>45819.0</v>
      </c>
      <c r="F729" s="7">
        <v>45819.0</v>
      </c>
    </row>
    <row r="730">
      <c r="A730" s="4" t="s">
        <v>1461</v>
      </c>
      <c r="B730" s="5" t="s">
        <v>1462</v>
      </c>
      <c r="C730" s="6"/>
      <c r="D730" s="7">
        <v>45421.0</v>
      </c>
      <c r="E730" s="7">
        <v>45832.0</v>
      </c>
      <c r="F730" s="7">
        <v>45832.0</v>
      </c>
    </row>
    <row r="731">
      <c r="A731" s="4" t="s">
        <v>1463</v>
      </c>
      <c r="B731" s="5" t="s">
        <v>1464</v>
      </c>
      <c r="C731" s="6"/>
      <c r="D731" s="7">
        <v>45421.0</v>
      </c>
      <c r="E731" s="7">
        <v>45819.0</v>
      </c>
      <c r="F731" s="7">
        <v>45819.0</v>
      </c>
    </row>
    <row r="732">
      <c r="A732" s="4" t="s">
        <v>1465</v>
      </c>
      <c r="B732" s="5" t="s">
        <v>1466</v>
      </c>
      <c r="C732" s="6"/>
      <c r="D732" s="7">
        <v>45421.0</v>
      </c>
      <c r="E732" s="7">
        <v>45819.0</v>
      </c>
      <c r="F732" s="7">
        <v>45819.0</v>
      </c>
    </row>
    <row r="733">
      <c r="A733" s="4" t="s">
        <v>1467</v>
      </c>
      <c r="B733" s="5" t="s">
        <v>1468</v>
      </c>
      <c r="C733" s="6"/>
      <c r="D733" s="7">
        <v>45421.0</v>
      </c>
      <c r="E733" s="7">
        <v>45826.0</v>
      </c>
      <c r="F733" s="7">
        <v>45826.0</v>
      </c>
    </row>
    <row r="734">
      <c r="A734" s="4" t="s">
        <v>1469</v>
      </c>
      <c r="B734" s="5" t="s">
        <v>1470</v>
      </c>
      <c r="C734" s="6"/>
      <c r="D734" s="7">
        <v>45421.0</v>
      </c>
      <c r="E734" s="7">
        <v>45819.0</v>
      </c>
      <c r="F734" s="7">
        <v>45819.0</v>
      </c>
    </row>
    <row r="735">
      <c r="A735" s="4" t="s">
        <v>1471</v>
      </c>
      <c r="B735" s="5" t="s">
        <v>1472</v>
      </c>
      <c r="C735" s="6"/>
      <c r="D735" s="7">
        <v>45421.0</v>
      </c>
      <c r="E735" s="7">
        <v>45820.0</v>
      </c>
      <c r="F735" s="7">
        <v>45820.0</v>
      </c>
    </row>
    <row r="736">
      <c r="A736" s="4" t="s">
        <v>1473</v>
      </c>
      <c r="B736" s="5" t="s">
        <v>1474</v>
      </c>
      <c r="C736" s="6"/>
      <c r="D736" s="7">
        <v>45421.0</v>
      </c>
      <c r="E736" s="7">
        <v>45819.0</v>
      </c>
      <c r="F736" s="7">
        <v>45819.0</v>
      </c>
    </row>
    <row r="737">
      <c r="A737" s="4" t="s">
        <v>1475</v>
      </c>
      <c r="B737" s="5" t="s">
        <v>1476</v>
      </c>
      <c r="C737" s="6"/>
      <c r="D737" s="7">
        <v>45421.0</v>
      </c>
      <c r="E737" s="7">
        <v>45819.0</v>
      </c>
      <c r="F737" s="7">
        <v>45819.0</v>
      </c>
    </row>
    <row r="738">
      <c r="A738" s="4" t="s">
        <v>1477</v>
      </c>
      <c r="B738" s="5" t="s">
        <v>1478</v>
      </c>
      <c r="C738" s="6"/>
      <c r="D738" s="7">
        <v>45421.0</v>
      </c>
      <c r="E738" s="7">
        <v>45819.0</v>
      </c>
      <c r="F738" s="7">
        <v>45819.0</v>
      </c>
    </row>
    <row r="739">
      <c r="A739" s="4" t="s">
        <v>1479</v>
      </c>
      <c r="B739" s="5" t="s">
        <v>1480</v>
      </c>
      <c r="C739" s="6"/>
      <c r="D739" s="7">
        <v>45421.0</v>
      </c>
      <c r="E739" s="7">
        <v>45819.0</v>
      </c>
      <c r="F739" s="7">
        <v>45819.0</v>
      </c>
    </row>
    <row r="740">
      <c r="A740" s="4" t="s">
        <v>1481</v>
      </c>
      <c r="B740" s="5" t="s">
        <v>1482</v>
      </c>
      <c r="C740" s="6"/>
      <c r="D740" s="7">
        <v>45421.0</v>
      </c>
      <c r="E740" s="7">
        <v>45818.0</v>
      </c>
      <c r="F740" s="7">
        <v>45818.0</v>
      </c>
    </row>
    <row r="741">
      <c r="A741" s="4" t="s">
        <v>1483</v>
      </c>
      <c r="B741" s="5" t="s">
        <v>1484</v>
      </c>
      <c r="C741" s="6"/>
      <c r="D741" s="7">
        <v>45421.0</v>
      </c>
      <c r="E741" s="7">
        <v>45826.0</v>
      </c>
      <c r="F741" s="7">
        <v>45826.0</v>
      </c>
    </row>
    <row r="742">
      <c r="A742" s="4" t="s">
        <v>1485</v>
      </c>
      <c r="B742" s="5" t="s">
        <v>1486</v>
      </c>
      <c r="C742" s="6"/>
      <c r="D742" s="7">
        <v>45421.0</v>
      </c>
      <c r="E742" s="7">
        <v>45819.0</v>
      </c>
      <c r="F742" s="7">
        <v>45819.0</v>
      </c>
    </row>
    <row r="743">
      <c r="A743" s="4" t="s">
        <v>1487</v>
      </c>
      <c r="B743" s="5" t="s">
        <v>1488</v>
      </c>
      <c r="C743" s="6"/>
      <c r="D743" s="7">
        <v>45421.0</v>
      </c>
      <c r="E743" s="7">
        <v>45819.0</v>
      </c>
      <c r="F743" s="7">
        <v>45819.0</v>
      </c>
    </row>
    <row r="744">
      <c r="A744" s="4" t="s">
        <v>1489</v>
      </c>
      <c r="B744" s="5" t="s">
        <v>1490</v>
      </c>
      <c r="C744" s="6"/>
      <c r="D744" s="7">
        <v>45421.0</v>
      </c>
      <c r="E744" s="7">
        <v>45819.0</v>
      </c>
      <c r="F744" s="7">
        <v>45819.0</v>
      </c>
    </row>
    <row r="745">
      <c r="A745" s="4" t="s">
        <v>1491</v>
      </c>
      <c r="B745" s="5" t="s">
        <v>1492</v>
      </c>
      <c r="C745" s="6"/>
      <c r="D745" s="7">
        <v>45421.0</v>
      </c>
      <c r="E745" s="7">
        <v>45819.0</v>
      </c>
      <c r="F745" s="7">
        <v>45819.0</v>
      </c>
    </row>
    <row r="746">
      <c r="A746" s="4" t="s">
        <v>1493</v>
      </c>
      <c r="B746" s="5" t="s">
        <v>1494</v>
      </c>
      <c r="C746" s="6"/>
      <c r="D746" s="7">
        <v>45421.0</v>
      </c>
      <c r="E746" s="7">
        <v>45819.0</v>
      </c>
      <c r="F746" s="7">
        <v>45819.0</v>
      </c>
    </row>
    <row r="747">
      <c r="A747" s="4" t="s">
        <v>1495</v>
      </c>
      <c r="B747" s="5" t="s">
        <v>1496</v>
      </c>
      <c r="C747" s="6"/>
      <c r="D747" s="7">
        <v>45421.0</v>
      </c>
      <c r="E747" s="7">
        <v>45825.0</v>
      </c>
      <c r="F747" s="7">
        <v>45825.0</v>
      </c>
    </row>
    <row r="748">
      <c r="A748" s="4" t="s">
        <v>1497</v>
      </c>
      <c r="B748" s="5" t="s">
        <v>1498</v>
      </c>
      <c r="C748" s="6"/>
      <c r="D748" s="7">
        <v>45421.0</v>
      </c>
      <c r="E748" s="7">
        <v>45908.0</v>
      </c>
      <c r="F748" s="7">
        <v>45908.0</v>
      </c>
    </row>
    <row r="749">
      <c r="A749" s="4" t="s">
        <v>1499</v>
      </c>
      <c r="B749" s="5" t="s">
        <v>1500</v>
      </c>
      <c r="C749" s="6"/>
      <c r="D749" s="7">
        <v>45421.0</v>
      </c>
      <c r="E749" s="7">
        <v>45821.0</v>
      </c>
      <c r="F749" s="7">
        <v>45821.0</v>
      </c>
    </row>
    <row r="750">
      <c r="A750" s="4" t="s">
        <v>1501</v>
      </c>
      <c r="B750" s="5" t="s">
        <v>1502</v>
      </c>
      <c r="C750" s="6"/>
      <c r="D750" s="7">
        <v>45421.0</v>
      </c>
      <c r="E750" s="7">
        <v>45813.0</v>
      </c>
      <c r="F750" s="7">
        <v>45813.0</v>
      </c>
    </row>
    <row r="751">
      <c r="A751" s="4" t="s">
        <v>1503</v>
      </c>
      <c r="B751" s="5" t="s">
        <v>1504</v>
      </c>
      <c r="C751" s="6"/>
      <c r="D751" s="7">
        <v>45421.0</v>
      </c>
      <c r="E751" s="7">
        <v>45838.0</v>
      </c>
      <c r="F751" s="7">
        <v>45838.0</v>
      </c>
    </row>
    <row r="752">
      <c r="A752" s="4" t="s">
        <v>1505</v>
      </c>
      <c r="B752" s="5" t="s">
        <v>1506</v>
      </c>
      <c r="C752" s="6"/>
      <c r="D752" s="7">
        <v>45421.0</v>
      </c>
      <c r="E752" s="7">
        <v>45805.0</v>
      </c>
      <c r="F752" s="7">
        <v>45805.0</v>
      </c>
    </row>
    <row r="753">
      <c r="A753" s="4" t="s">
        <v>1507</v>
      </c>
      <c r="B753" s="5" t="s">
        <v>1508</v>
      </c>
      <c r="C753" s="6"/>
      <c r="D753" s="7">
        <v>45421.0</v>
      </c>
      <c r="E753" s="7">
        <v>45818.0</v>
      </c>
      <c r="F753" s="7">
        <v>45818.0</v>
      </c>
    </row>
    <row r="754">
      <c r="A754" s="4" t="s">
        <v>1509</v>
      </c>
      <c r="B754" s="5" t="s">
        <v>1510</v>
      </c>
      <c r="C754" s="6"/>
      <c r="D754" s="7">
        <v>45421.0</v>
      </c>
      <c r="E754" s="7">
        <v>45828.0</v>
      </c>
      <c r="F754" s="7">
        <v>45828.0</v>
      </c>
    </row>
    <row r="755">
      <c r="A755" s="4" t="s">
        <v>1511</v>
      </c>
      <c r="B755" s="5" t="s">
        <v>1512</v>
      </c>
      <c r="C755" s="6"/>
      <c r="D755" s="7">
        <v>45421.0</v>
      </c>
      <c r="E755" s="7">
        <v>45812.0</v>
      </c>
      <c r="F755" s="7">
        <v>45812.0</v>
      </c>
    </row>
    <row r="756">
      <c r="A756" s="4" t="s">
        <v>1513</v>
      </c>
      <c r="B756" s="5" t="s">
        <v>1514</v>
      </c>
      <c r="C756" s="6"/>
      <c r="D756" s="7">
        <v>45421.0</v>
      </c>
      <c r="E756" s="7">
        <v>45819.0</v>
      </c>
      <c r="F756" s="7">
        <v>45819.0</v>
      </c>
    </row>
    <row r="757">
      <c r="A757" s="4" t="s">
        <v>1515</v>
      </c>
      <c r="B757" s="5" t="s">
        <v>1516</v>
      </c>
      <c r="C757" s="6"/>
      <c r="D757" s="7">
        <v>45421.0</v>
      </c>
      <c r="E757" s="7">
        <v>45813.0</v>
      </c>
      <c r="F757" s="7">
        <v>45813.0</v>
      </c>
    </row>
    <row r="758">
      <c r="A758" s="4" t="s">
        <v>1517</v>
      </c>
      <c r="B758" s="5" t="s">
        <v>1518</v>
      </c>
      <c r="C758" s="6"/>
      <c r="D758" s="7">
        <v>45421.0</v>
      </c>
      <c r="E758" s="7">
        <v>45819.0</v>
      </c>
      <c r="F758" s="7">
        <v>45819.0</v>
      </c>
    </row>
    <row r="759">
      <c r="A759" s="4" t="s">
        <v>1519</v>
      </c>
      <c r="B759" s="5" t="s">
        <v>1520</v>
      </c>
      <c r="C759" s="6"/>
      <c r="D759" s="7">
        <v>45421.0</v>
      </c>
      <c r="E759" s="7">
        <v>45819.0</v>
      </c>
      <c r="F759" s="7">
        <v>45819.0</v>
      </c>
    </row>
    <row r="760">
      <c r="A760" s="4" t="s">
        <v>1521</v>
      </c>
      <c r="B760" s="5" t="s">
        <v>1522</v>
      </c>
      <c r="C760" s="6"/>
      <c r="D760" s="7">
        <v>45421.0</v>
      </c>
      <c r="E760" s="7">
        <v>45819.0</v>
      </c>
      <c r="F760" s="7">
        <v>45819.0</v>
      </c>
    </row>
    <row r="761">
      <c r="A761" s="4" t="s">
        <v>1523</v>
      </c>
      <c r="B761" s="5" t="s">
        <v>1524</v>
      </c>
      <c r="C761" s="6"/>
      <c r="D761" s="7">
        <v>45421.0</v>
      </c>
      <c r="E761" s="7">
        <v>45812.0</v>
      </c>
      <c r="F761" s="7">
        <v>45812.0</v>
      </c>
    </row>
    <row r="762">
      <c r="A762" s="4" t="s">
        <v>1525</v>
      </c>
      <c r="B762" s="5" t="s">
        <v>1526</v>
      </c>
      <c r="C762" s="6"/>
      <c r="D762" s="7">
        <v>45421.0</v>
      </c>
      <c r="E762" s="7">
        <v>45819.0</v>
      </c>
      <c r="F762" s="7">
        <v>45819.0</v>
      </c>
    </row>
    <row r="763">
      <c r="A763" s="4" t="s">
        <v>1527</v>
      </c>
      <c r="B763" s="5" t="s">
        <v>1528</v>
      </c>
      <c r="C763" s="6"/>
      <c r="D763" s="7">
        <v>45421.0</v>
      </c>
      <c r="E763" s="7">
        <v>45825.0</v>
      </c>
      <c r="F763" s="7">
        <v>45825.0</v>
      </c>
    </row>
    <row r="764">
      <c r="A764" s="4" t="s">
        <v>1529</v>
      </c>
      <c r="B764" s="5" t="s">
        <v>1530</v>
      </c>
      <c r="C764" s="6"/>
      <c r="D764" s="7">
        <v>45421.0</v>
      </c>
      <c r="E764" s="7">
        <v>45819.0</v>
      </c>
      <c r="F764" s="7">
        <v>45819.0</v>
      </c>
    </row>
    <row r="765">
      <c r="A765" s="4" t="s">
        <v>1531</v>
      </c>
      <c r="B765" s="5" t="s">
        <v>1532</v>
      </c>
      <c r="C765" s="6"/>
      <c r="D765" s="7">
        <v>45421.0</v>
      </c>
      <c r="E765" s="7">
        <v>45811.0</v>
      </c>
      <c r="F765" s="7">
        <v>45811.0</v>
      </c>
    </row>
    <row r="766">
      <c r="A766" s="4" t="s">
        <v>1533</v>
      </c>
      <c r="B766" s="5" t="s">
        <v>1534</v>
      </c>
      <c r="C766" s="6"/>
      <c r="D766" s="7">
        <v>45421.0</v>
      </c>
      <c r="E766" s="7">
        <v>45828.0</v>
      </c>
      <c r="F766" s="7">
        <v>45828.0</v>
      </c>
    </row>
    <row r="767">
      <c r="A767" s="4" t="s">
        <v>1535</v>
      </c>
      <c r="B767" s="5" t="s">
        <v>1536</v>
      </c>
      <c r="C767" s="6"/>
      <c r="D767" s="7">
        <v>45421.0</v>
      </c>
      <c r="E767" s="7">
        <v>45818.0</v>
      </c>
      <c r="F767" s="7">
        <v>45818.0</v>
      </c>
    </row>
    <row r="768">
      <c r="A768" s="4" t="s">
        <v>1537</v>
      </c>
      <c r="B768" s="5" t="s">
        <v>1538</v>
      </c>
      <c r="C768" s="6"/>
      <c r="D768" s="7">
        <v>45421.0</v>
      </c>
      <c r="E768" s="7">
        <v>45811.0</v>
      </c>
      <c r="F768" s="7">
        <v>45811.0</v>
      </c>
    </row>
    <row r="769">
      <c r="A769" s="4" t="s">
        <v>1539</v>
      </c>
      <c r="B769" s="5" t="s">
        <v>1540</v>
      </c>
      <c r="C769" s="6"/>
      <c r="D769" s="7">
        <v>45421.0</v>
      </c>
      <c r="E769" s="7">
        <v>45820.0</v>
      </c>
      <c r="F769" s="7">
        <v>45820.0</v>
      </c>
    </row>
    <row r="770">
      <c r="A770" s="4" t="s">
        <v>1541</v>
      </c>
      <c r="B770" s="5" t="s">
        <v>1542</v>
      </c>
      <c r="C770" s="6"/>
      <c r="D770" s="7">
        <v>45421.0</v>
      </c>
      <c r="E770" s="7">
        <v>45831.0</v>
      </c>
      <c r="F770" s="7">
        <v>45831.0</v>
      </c>
    </row>
    <row r="771">
      <c r="A771" s="4" t="s">
        <v>1543</v>
      </c>
      <c r="B771" s="5" t="s">
        <v>1544</v>
      </c>
      <c r="C771" s="6"/>
      <c r="D771" s="7">
        <v>45421.0</v>
      </c>
      <c r="E771" s="7">
        <v>45818.0</v>
      </c>
      <c r="F771" s="7">
        <v>45818.0</v>
      </c>
    </row>
    <row r="772">
      <c r="A772" s="4" t="s">
        <v>1545</v>
      </c>
      <c r="B772" s="5" t="s">
        <v>1546</v>
      </c>
      <c r="C772" s="6"/>
      <c r="D772" s="7">
        <v>45421.0</v>
      </c>
      <c r="E772" s="7">
        <v>45826.0</v>
      </c>
      <c r="F772" s="7">
        <v>45826.0</v>
      </c>
    </row>
    <row r="773">
      <c r="A773" s="4" t="s">
        <v>1547</v>
      </c>
      <c r="B773" s="5" t="s">
        <v>1548</v>
      </c>
      <c r="C773" s="6"/>
      <c r="D773" s="7">
        <v>45421.0</v>
      </c>
      <c r="E773" s="7">
        <v>45818.0</v>
      </c>
      <c r="F773" s="7">
        <v>45818.0</v>
      </c>
    </row>
    <row r="774">
      <c r="A774" s="4" t="s">
        <v>1549</v>
      </c>
      <c r="B774" s="5" t="s">
        <v>1550</v>
      </c>
      <c r="C774" s="6"/>
      <c r="D774" s="7">
        <v>45421.0</v>
      </c>
      <c r="E774" s="7">
        <v>45819.0</v>
      </c>
      <c r="F774" s="7">
        <v>45819.0</v>
      </c>
    </row>
    <row r="775">
      <c r="A775" s="4" t="s">
        <v>1551</v>
      </c>
      <c r="B775" s="5" t="s">
        <v>1552</v>
      </c>
      <c r="C775" s="6"/>
      <c r="D775" s="7">
        <v>45421.0</v>
      </c>
      <c r="E775" s="7">
        <v>45812.0</v>
      </c>
      <c r="F775" s="7">
        <v>45812.0</v>
      </c>
    </row>
    <row r="776">
      <c r="A776" s="4" t="s">
        <v>1553</v>
      </c>
      <c r="B776" s="5" t="s">
        <v>1554</v>
      </c>
      <c r="C776" s="6"/>
      <c r="D776" s="7">
        <v>45421.0</v>
      </c>
      <c r="E776" s="7">
        <v>45826.0</v>
      </c>
      <c r="F776" s="7">
        <v>45826.0</v>
      </c>
    </row>
    <row r="777">
      <c r="A777" s="4" t="s">
        <v>1555</v>
      </c>
      <c r="B777" s="5" t="s">
        <v>1556</v>
      </c>
      <c r="C777" s="6"/>
      <c r="D777" s="7">
        <v>45421.0</v>
      </c>
      <c r="E777" s="7">
        <v>45454.0</v>
      </c>
      <c r="F777" s="7">
        <v>45454.0</v>
      </c>
    </row>
    <row r="778">
      <c r="A778" s="4" t="s">
        <v>1557</v>
      </c>
      <c r="B778" s="5" t="s">
        <v>1558</v>
      </c>
      <c r="C778" s="6"/>
      <c r="D778" s="7">
        <v>45421.0</v>
      </c>
      <c r="E778" s="7">
        <v>45811.0</v>
      </c>
      <c r="F778" s="7">
        <v>45811.0</v>
      </c>
    </row>
    <row r="779">
      <c r="A779" s="4" t="s">
        <v>1559</v>
      </c>
      <c r="B779" s="5" t="s">
        <v>1560</v>
      </c>
      <c r="C779" s="6"/>
      <c r="D779" s="7">
        <v>45421.0</v>
      </c>
      <c r="E779" s="7">
        <v>45818.0</v>
      </c>
      <c r="F779" s="7">
        <v>45818.0</v>
      </c>
    </row>
    <row r="780">
      <c r="A780" s="4" t="s">
        <v>1561</v>
      </c>
      <c r="B780" s="5" t="s">
        <v>1562</v>
      </c>
      <c r="C780" s="6"/>
      <c r="D780" s="7">
        <v>45421.0</v>
      </c>
      <c r="E780" s="7">
        <v>45818.0</v>
      </c>
      <c r="F780" s="7">
        <v>45818.0</v>
      </c>
    </row>
    <row r="781">
      <c r="A781" s="4" t="s">
        <v>1563</v>
      </c>
      <c r="B781" s="5" t="s">
        <v>1564</v>
      </c>
      <c r="C781" s="6"/>
      <c r="D781" s="7">
        <v>45421.0</v>
      </c>
      <c r="E781" s="7">
        <v>45811.0</v>
      </c>
      <c r="F781" s="7">
        <v>45811.0</v>
      </c>
    </row>
    <row r="782">
      <c r="A782" s="4" t="s">
        <v>1565</v>
      </c>
      <c r="B782" s="5" t="s">
        <v>1566</v>
      </c>
      <c r="C782" s="6"/>
      <c r="D782" s="7">
        <v>45421.0</v>
      </c>
      <c r="E782" s="7">
        <v>45820.0</v>
      </c>
      <c r="F782" s="7">
        <v>45820.0</v>
      </c>
    </row>
    <row r="783">
      <c r="A783" s="4" t="s">
        <v>1567</v>
      </c>
      <c r="B783" s="5" t="s">
        <v>1568</v>
      </c>
      <c r="C783" s="6"/>
      <c r="D783" s="7">
        <v>45421.0</v>
      </c>
      <c r="E783" s="7">
        <v>45826.0</v>
      </c>
      <c r="F783" s="7">
        <v>45826.0</v>
      </c>
    </row>
    <row r="784">
      <c r="A784" s="4" t="s">
        <v>1569</v>
      </c>
      <c r="B784" s="5" t="s">
        <v>1570</v>
      </c>
      <c r="C784" s="6"/>
      <c r="D784" s="7">
        <v>45421.0</v>
      </c>
      <c r="E784" s="7">
        <v>45811.0</v>
      </c>
      <c r="F784" s="7">
        <v>45811.0</v>
      </c>
    </row>
    <row r="785">
      <c r="A785" s="4" t="s">
        <v>1571</v>
      </c>
      <c r="B785" s="5" t="s">
        <v>1572</v>
      </c>
      <c r="C785" s="6"/>
      <c r="D785" s="7">
        <v>45421.0</v>
      </c>
      <c r="E785" s="7">
        <v>45818.0</v>
      </c>
      <c r="F785" s="7">
        <v>45818.0</v>
      </c>
    </row>
    <row r="786">
      <c r="A786" s="4" t="s">
        <v>1573</v>
      </c>
      <c r="B786" s="5" t="s">
        <v>1574</v>
      </c>
      <c r="C786" s="6"/>
      <c r="D786" s="7">
        <v>45421.0</v>
      </c>
      <c r="E786" s="7">
        <v>45826.0</v>
      </c>
      <c r="F786" s="7">
        <v>45826.0</v>
      </c>
    </row>
    <row r="787">
      <c r="A787" s="4" t="s">
        <v>1575</v>
      </c>
      <c r="B787" s="5" t="s">
        <v>1576</v>
      </c>
      <c r="C787" s="6"/>
      <c r="D787" s="7">
        <v>45421.0</v>
      </c>
      <c r="E787" s="7">
        <v>45818.0</v>
      </c>
      <c r="F787" s="7">
        <v>45818.0</v>
      </c>
    </row>
    <row r="788">
      <c r="A788" s="4" t="s">
        <v>1577</v>
      </c>
      <c r="B788" s="5" t="s">
        <v>1578</v>
      </c>
      <c r="C788" s="6"/>
      <c r="D788" s="7">
        <v>45421.0</v>
      </c>
      <c r="E788" s="7">
        <v>45819.0</v>
      </c>
      <c r="F788" s="7">
        <v>45819.0</v>
      </c>
    </row>
    <row r="789">
      <c r="A789" s="4" t="s">
        <v>1579</v>
      </c>
      <c r="B789" s="5" t="s">
        <v>1580</v>
      </c>
      <c r="C789" s="6"/>
      <c r="D789" s="7">
        <v>45421.0</v>
      </c>
      <c r="E789" s="7">
        <v>45818.0</v>
      </c>
      <c r="F789" s="7">
        <v>45818.0</v>
      </c>
    </row>
    <row r="790">
      <c r="A790" s="4" t="s">
        <v>1581</v>
      </c>
      <c r="B790" s="5" t="s">
        <v>1582</v>
      </c>
      <c r="C790" s="6"/>
      <c r="D790" s="7">
        <v>45421.0</v>
      </c>
      <c r="E790" s="7">
        <v>45812.0</v>
      </c>
      <c r="F790" s="7">
        <v>45812.0</v>
      </c>
    </row>
    <row r="791">
      <c r="A791" s="4" t="s">
        <v>1583</v>
      </c>
      <c r="B791" s="5" t="s">
        <v>1584</v>
      </c>
      <c r="C791" s="6"/>
      <c r="D791" s="7">
        <v>45422.0</v>
      </c>
      <c r="E791" s="7">
        <v>45813.0</v>
      </c>
      <c r="F791" s="7">
        <v>45813.0</v>
      </c>
    </row>
    <row r="792">
      <c r="A792" s="4" t="s">
        <v>1585</v>
      </c>
      <c r="B792" s="5" t="s">
        <v>1586</v>
      </c>
      <c r="C792" s="6"/>
      <c r="D792" s="7">
        <v>45422.0</v>
      </c>
      <c r="E792" s="7">
        <v>45820.0</v>
      </c>
      <c r="F792" s="7">
        <v>45820.0</v>
      </c>
    </row>
    <row r="793">
      <c r="A793" s="4" t="s">
        <v>1587</v>
      </c>
      <c r="B793" s="5" t="s">
        <v>1588</v>
      </c>
      <c r="C793" s="6"/>
      <c r="D793" s="7">
        <v>45422.0</v>
      </c>
      <c r="E793" s="7">
        <v>45820.0</v>
      </c>
      <c r="F793" s="7">
        <v>45820.0</v>
      </c>
    </row>
    <row r="794">
      <c r="A794" s="4" t="s">
        <v>1589</v>
      </c>
      <c r="B794" s="5" t="s">
        <v>1590</v>
      </c>
      <c r="C794" s="6"/>
      <c r="D794" s="7">
        <v>45422.0</v>
      </c>
      <c r="E794" s="7">
        <v>45818.0</v>
      </c>
      <c r="F794" s="7">
        <v>45818.0</v>
      </c>
    </row>
    <row r="795">
      <c r="A795" s="4" t="s">
        <v>1591</v>
      </c>
      <c r="B795" s="5" t="s">
        <v>1592</v>
      </c>
      <c r="C795" s="6"/>
      <c r="D795" s="7">
        <v>45422.0</v>
      </c>
      <c r="E795" s="5" t="e">
        <v>#N/A</v>
      </c>
      <c r="F795" s="5" t="e">
        <v>#N/A</v>
      </c>
    </row>
    <row r="796">
      <c r="A796" s="4" t="s">
        <v>1593</v>
      </c>
      <c r="B796" s="5" t="s">
        <v>1594</v>
      </c>
      <c r="C796" s="6"/>
      <c r="D796" s="7">
        <v>45422.0</v>
      </c>
      <c r="E796" s="7">
        <v>45811.0</v>
      </c>
      <c r="F796" s="7">
        <v>45811.0</v>
      </c>
    </row>
    <row r="797">
      <c r="A797" s="4" t="s">
        <v>1595</v>
      </c>
      <c r="B797" s="5" t="s">
        <v>1596</v>
      </c>
      <c r="C797" s="6"/>
      <c r="D797" s="7">
        <v>45422.0</v>
      </c>
      <c r="E797" s="7">
        <v>45819.0</v>
      </c>
      <c r="F797" s="7">
        <v>45819.0</v>
      </c>
    </row>
    <row r="798">
      <c r="A798" s="4" t="s">
        <v>1597</v>
      </c>
      <c r="B798" s="5" t="s">
        <v>1598</v>
      </c>
      <c r="C798" s="6"/>
      <c r="D798" s="7">
        <v>45422.0</v>
      </c>
      <c r="E798" s="7">
        <v>45826.0</v>
      </c>
      <c r="F798" s="7">
        <v>45826.0</v>
      </c>
    </row>
    <row r="799">
      <c r="A799" s="4" t="s">
        <v>1599</v>
      </c>
      <c r="B799" s="5" t="s">
        <v>1600</v>
      </c>
      <c r="C799" s="6"/>
      <c r="D799" s="7">
        <v>45422.0</v>
      </c>
      <c r="E799" s="7">
        <v>45818.0</v>
      </c>
      <c r="F799" s="7">
        <v>45818.0</v>
      </c>
    </row>
    <row r="800">
      <c r="A800" s="4" t="s">
        <v>1601</v>
      </c>
      <c r="B800" s="5" t="s">
        <v>1602</v>
      </c>
      <c r="C800" s="6"/>
      <c r="D800" s="7">
        <v>45422.0</v>
      </c>
      <c r="E800" s="7">
        <v>45826.0</v>
      </c>
      <c r="F800" s="7">
        <v>45826.0</v>
      </c>
    </row>
    <row r="801">
      <c r="A801" s="4" t="s">
        <v>1603</v>
      </c>
      <c r="B801" s="5" t="s">
        <v>1604</v>
      </c>
      <c r="C801" s="6"/>
      <c r="D801" s="7">
        <v>45422.0</v>
      </c>
      <c r="E801" s="7">
        <v>45818.0</v>
      </c>
      <c r="F801" s="7">
        <v>45818.0</v>
      </c>
    </row>
    <row r="802">
      <c r="A802" s="4" t="s">
        <v>1605</v>
      </c>
      <c r="B802" s="5" t="s">
        <v>1606</v>
      </c>
      <c r="C802" s="6"/>
      <c r="D802" s="7">
        <v>45422.0</v>
      </c>
      <c r="E802" s="7">
        <v>45818.0</v>
      </c>
      <c r="F802" s="7">
        <v>45818.0</v>
      </c>
    </row>
    <row r="803">
      <c r="A803" s="4" t="s">
        <v>1607</v>
      </c>
      <c r="B803" s="5" t="s">
        <v>1608</v>
      </c>
      <c r="C803" s="6"/>
      <c r="D803" s="7">
        <v>45422.0</v>
      </c>
      <c r="E803" s="7">
        <v>45818.0</v>
      </c>
      <c r="F803" s="7">
        <v>45818.0</v>
      </c>
    </row>
    <row r="804">
      <c r="A804" s="4" t="s">
        <v>1609</v>
      </c>
      <c r="B804" s="5" t="s">
        <v>1610</v>
      </c>
      <c r="C804" s="6"/>
      <c r="D804" s="7">
        <v>45422.0</v>
      </c>
      <c r="E804" s="7">
        <v>45818.0</v>
      </c>
      <c r="F804" s="7">
        <v>45818.0</v>
      </c>
    </row>
    <row r="805">
      <c r="A805" s="4" t="s">
        <v>1611</v>
      </c>
      <c r="B805" s="5" t="s">
        <v>1612</v>
      </c>
      <c r="C805" s="6"/>
      <c r="D805" s="7">
        <v>45422.0</v>
      </c>
      <c r="E805" s="7">
        <v>45849.0</v>
      </c>
      <c r="F805" s="7">
        <v>45849.0</v>
      </c>
    </row>
    <row r="806">
      <c r="A806" s="4" t="s">
        <v>1613</v>
      </c>
      <c r="B806" s="5" t="s">
        <v>1614</v>
      </c>
      <c r="C806" s="6"/>
      <c r="D806" s="7">
        <v>45422.0</v>
      </c>
      <c r="E806" s="7">
        <v>45818.0</v>
      </c>
      <c r="F806" s="7">
        <v>45818.0</v>
      </c>
    </row>
    <row r="807">
      <c r="A807" s="4" t="s">
        <v>1615</v>
      </c>
      <c r="B807" s="5" t="s">
        <v>1616</v>
      </c>
      <c r="C807" s="6"/>
      <c r="D807" s="7">
        <v>45422.0</v>
      </c>
      <c r="E807" s="7">
        <v>45825.0</v>
      </c>
      <c r="F807" s="7">
        <v>45825.0</v>
      </c>
    </row>
    <row r="808">
      <c r="A808" s="4" t="s">
        <v>1617</v>
      </c>
      <c r="B808" s="5" t="s">
        <v>1618</v>
      </c>
      <c r="C808" s="6"/>
      <c r="D808" s="7">
        <v>45422.0</v>
      </c>
      <c r="E808" s="7">
        <v>45832.0</v>
      </c>
      <c r="F808" s="7">
        <v>45832.0</v>
      </c>
    </row>
    <row r="809">
      <c r="A809" s="4" t="s">
        <v>1619</v>
      </c>
      <c r="B809" s="5" t="s">
        <v>1620</v>
      </c>
      <c r="C809" s="6"/>
      <c r="D809" s="7">
        <v>45422.0</v>
      </c>
      <c r="E809" s="7">
        <v>45811.0</v>
      </c>
      <c r="F809" s="7">
        <v>45811.0</v>
      </c>
    </row>
    <row r="810">
      <c r="A810" s="4" t="s">
        <v>1621</v>
      </c>
      <c r="B810" s="5" t="s">
        <v>1622</v>
      </c>
      <c r="C810" s="6"/>
      <c r="D810" s="7">
        <v>45422.0</v>
      </c>
      <c r="E810" s="7">
        <v>45812.0</v>
      </c>
      <c r="F810" s="7">
        <v>45812.0</v>
      </c>
    </row>
    <row r="811">
      <c r="A811" s="4" t="s">
        <v>1623</v>
      </c>
      <c r="B811" s="5" t="s">
        <v>1624</v>
      </c>
      <c r="C811" s="6"/>
      <c r="D811" s="7">
        <v>45422.0</v>
      </c>
      <c r="E811" s="7">
        <v>45825.0</v>
      </c>
      <c r="F811" s="7">
        <v>45825.0</v>
      </c>
    </row>
    <row r="812">
      <c r="A812" s="4" t="s">
        <v>1625</v>
      </c>
      <c r="B812" s="5" t="s">
        <v>1626</v>
      </c>
      <c r="C812" s="6"/>
      <c r="D812" s="7">
        <v>45422.0</v>
      </c>
      <c r="E812" s="7">
        <v>45454.0</v>
      </c>
      <c r="F812" s="7">
        <v>45454.0</v>
      </c>
    </row>
    <row r="813">
      <c r="A813" s="4" t="s">
        <v>1627</v>
      </c>
      <c r="B813" s="5" t="s">
        <v>1628</v>
      </c>
      <c r="C813" s="6"/>
      <c r="D813" s="7">
        <v>45422.0</v>
      </c>
      <c r="E813" s="7">
        <v>45820.0</v>
      </c>
      <c r="F813" s="7">
        <v>45820.0</v>
      </c>
    </row>
    <row r="814">
      <c r="A814" s="4" t="s">
        <v>1629</v>
      </c>
      <c r="B814" s="5" t="s">
        <v>1630</v>
      </c>
      <c r="C814" s="6"/>
      <c r="D814" s="7">
        <v>45422.0</v>
      </c>
      <c r="E814" s="7">
        <v>45825.0</v>
      </c>
      <c r="F814" s="7">
        <v>45825.0</v>
      </c>
    </row>
    <row r="815">
      <c r="A815" s="4" t="s">
        <v>1631</v>
      </c>
      <c r="B815" s="5" t="s">
        <v>1632</v>
      </c>
      <c r="C815" s="6"/>
      <c r="D815" s="7">
        <v>45422.0</v>
      </c>
      <c r="E815" s="7">
        <v>45826.0</v>
      </c>
      <c r="F815" s="7">
        <v>45826.0</v>
      </c>
    </row>
    <row r="816">
      <c r="A816" s="4" t="s">
        <v>1633</v>
      </c>
      <c r="B816" s="5" t="s">
        <v>1634</v>
      </c>
      <c r="C816" s="6"/>
      <c r="D816" s="7">
        <v>44692.0</v>
      </c>
      <c r="E816" s="7">
        <v>45826.0</v>
      </c>
      <c r="F816" s="7">
        <v>45826.0</v>
      </c>
    </row>
    <row r="817">
      <c r="A817" s="4" t="s">
        <v>1635</v>
      </c>
      <c r="B817" s="5" t="s">
        <v>1636</v>
      </c>
      <c r="C817" s="6"/>
      <c r="D817" s="7">
        <v>45057.0</v>
      </c>
      <c r="E817" s="7">
        <v>45789.0</v>
      </c>
      <c r="F817" s="7">
        <v>45789.0</v>
      </c>
    </row>
    <row r="818">
      <c r="A818" s="4" t="s">
        <v>1637</v>
      </c>
      <c r="B818" s="5" t="s">
        <v>1638</v>
      </c>
      <c r="C818" s="6"/>
      <c r="D818" s="7">
        <v>45057.0</v>
      </c>
      <c r="E818" s="7">
        <v>45789.0</v>
      </c>
      <c r="F818" s="7">
        <v>45789.0</v>
      </c>
    </row>
    <row r="819">
      <c r="A819" s="4" t="s">
        <v>1639</v>
      </c>
      <c r="B819" s="5" t="s">
        <v>1640</v>
      </c>
      <c r="C819" s="6"/>
      <c r="D819" s="7">
        <v>45057.0</v>
      </c>
      <c r="E819" s="7">
        <v>45813.0</v>
      </c>
      <c r="F819" s="7">
        <v>45813.0</v>
      </c>
    </row>
    <row r="820">
      <c r="A820" s="4" t="s">
        <v>1641</v>
      </c>
      <c r="B820" s="5" t="s">
        <v>1642</v>
      </c>
      <c r="C820" s="6"/>
      <c r="D820" s="7">
        <v>45057.0</v>
      </c>
      <c r="E820" s="7">
        <v>45789.0</v>
      </c>
      <c r="F820" s="7">
        <v>45789.0</v>
      </c>
    </row>
    <row r="821">
      <c r="A821" s="4" t="s">
        <v>1643</v>
      </c>
      <c r="B821" s="5" t="s">
        <v>1644</v>
      </c>
      <c r="C821" s="6"/>
      <c r="D821" s="7">
        <v>45423.0</v>
      </c>
      <c r="E821" s="7">
        <v>45818.0</v>
      </c>
      <c r="F821" s="7">
        <v>45818.0</v>
      </c>
    </row>
    <row r="822">
      <c r="A822" s="4" t="s">
        <v>1645</v>
      </c>
      <c r="B822" s="5" t="s">
        <v>1646</v>
      </c>
      <c r="C822" s="6"/>
      <c r="D822" s="7">
        <v>45425.0</v>
      </c>
      <c r="E822" s="7">
        <v>45776.0</v>
      </c>
      <c r="F822" s="7">
        <v>45776.0</v>
      </c>
    </row>
    <row r="823">
      <c r="A823" s="4" t="s">
        <v>1647</v>
      </c>
      <c r="B823" s="5" t="s">
        <v>1648</v>
      </c>
      <c r="C823" s="6"/>
      <c r="D823" s="7">
        <v>45425.0</v>
      </c>
      <c r="E823" s="7">
        <v>45453.0</v>
      </c>
      <c r="F823" s="7">
        <v>45453.0</v>
      </c>
    </row>
    <row r="824">
      <c r="A824" s="4" t="s">
        <v>1649</v>
      </c>
      <c r="B824" s="5" t="s">
        <v>1650</v>
      </c>
      <c r="C824" s="6"/>
      <c r="D824" s="7">
        <v>45425.0</v>
      </c>
      <c r="E824" s="7">
        <v>45789.0</v>
      </c>
      <c r="F824" s="7">
        <v>45789.0</v>
      </c>
    </row>
    <row r="825">
      <c r="A825" s="4" t="s">
        <v>1651</v>
      </c>
      <c r="B825" s="5" t="s">
        <v>1652</v>
      </c>
      <c r="C825" s="6"/>
      <c r="D825" s="7">
        <v>45425.0</v>
      </c>
      <c r="E825" s="7">
        <v>45817.0</v>
      </c>
      <c r="F825" s="7">
        <v>45817.0</v>
      </c>
    </row>
    <row r="826">
      <c r="A826" s="4" t="s">
        <v>1653</v>
      </c>
      <c r="B826" s="5" t="s">
        <v>1654</v>
      </c>
      <c r="C826" s="6"/>
      <c r="D826" s="7">
        <v>45425.0</v>
      </c>
      <c r="E826" s="7">
        <v>45820.0</v>
      </c>
      <c r="F826" s="7">
        <v>45820.0</v>
      </c>
    </row>
    <row r="827">
      <c r="A827" s="4" t="s">
        <v>1655</v>
      </c>
      <c r="B827" s="5" t="s">
        <v>1656</v>
      </c>
      <c r="C827" s="6"/>
      <c r="D827" s="7">
        <v>45425.0</v>
      </c>
      <c r="E827" s="7">
        <v>45818.0</v>
      </c>
      <c r="F827" s="7">
        <v>45818.0</v>
      </c>
    </row>
    <row r="828">
      <c r="A828" s="4" t="s">
        <v>1657</v>
      </c>
      <c r="B828" s="5" t="s">
        <v>1658</v>
      </c>
      <c r="C828" s="6"/>
      <c r="D828" s="7">
        <v>45425.0</v>
      </c>
      <c r="E828" s="7">
        <v>45813.0</v>
      </c>
      <c r="F828" s="7">
        <v>45813.0</v>
      </c>
    </row>
    <row r="829">
      <c r="A829" s="4" t="s">
        <v>1659</v>
      </c>
      <c r="B829" s="5" t="s">
        <v>1660</v>
      </c>
      <c r="C829" s="6"/>
      <c r="D829" s="7">
        <v>45425.0</v>
      </c>
      <c r="E829" s="7">
        <v>45819.0</v>
      </c>
      <c r="F829" s="7">
        <v>45819.0</v>
      </c>
    </row>
    <row r="830">
      <c r="A830" s="4" t="s">
        <v>1661</v>
      </c>
      <c r="B830" s="5" t="s">
        <v>1662</v>
      </c>
      <c r="C830" s="6"/>
      <c r="D830" s="7">
        <v>45425.0</v>
      </c>
      <c r="E830" s="7">
        <v>45819.0</v>
      </c>
      <c r="F830" s="7">
        <v>45819.0</v>
      </c>
    </row>
    <row r="831">
      <c r="A831" s="4" t="s">
        <v>1663</v>
      </c>
      <c r="B831" s="5" t="s">
        <v>1664</v>
      </c>
      <c r="C831" s="6"/>
      <c r="D831" s="7">
        <v>45425.0</v>
      </c>
      <c r="E831" s="7">
        <v>45453.0</v>
      </c>
      <c r="F831" s="7">
        <v>45453.0</v>
      </c>
    </row>
    <row r="832">
      <c r="A832" s="4" t="s">
        <v>1665</v>
      </c>
      <c r="B832" s="5" t="s">
        <v>1666</v>
      </c>
      <c r="C832" s="6"/>
      <c r="D832" s="7">
        <v>45425.0</v>
      </c>
      <c r="E832" s="7">
        <v>45817.0</v>
      </c>
      <c r="F832" s="7">
        <v>45817.0</v>
      </c>
    </row>
    <row r="833">
      <c r="A833" s="4" t="s">
        <v>1667</v>
      </c>
      <c r="B833" s="5" t="s">
        <v>1668</v>
      </c>
      <c r="C833" s="6"/>
      <c r="D833" s="7">
        <v>45425.0</v>
      </c>
      <c r="E833" s="7">
        <v>45814.0</v>
      </c>
      <c r="F833" s="7">
        <v>45814.0</v>
      </c>
    </row>
    <row r="834">
      <c r="A834" s="4" t="s">
        <v>1669</v>
      </c>
      <c r="B834" s="5" t="s">
        <v>1670</v>
      </c>
      <c r="C834" s="6"/>
      <c r="D834" s="7">
        <v>45425.0</v>
      </c>
      <c r="E834" s="7">
        <v>45814.0</v>
      </c>
      <c r="F834" s="7">
        <v>45814.0</v>
      </c>
    </row>
    <row r="835">
      <c r="A835" s="4" t="s">
        <v>1671</v>
      </c>
      <c r="B835" s="5" t="s">
        <v>1672</v>
      </c>
      <c r="C835" s="6"/>
      <c r="D835" s="7">
        <v>45425.0</v>
      </c>
      <c r="E835" s="7">
        <v>45807.0</v>
      </c>
      <c r="F835" s="7">
        <v>45807.0</v>
      </c>
    </row>
    <row r="836">
      <c r="A836" s="4" t="s">
        <v>1673</v>
      </c>
      <c r="B836" s="5" t="s">
        <v>1674</v>
      </c>
      <c r="C836" s="6"/>
      <c r="D836" s="7">
        <v>45425.0</v>
      </c>
      <c r="E836" s="7">
        <v>45814.0</v>
      </c>
      <c r="F836" s="7">
        <v>45814.0</v>
      </c>
    </row>
    <row r="837">
      <c r="A837" s="4" t="s">
        <v>1675</v>
      </c>
      <c r="B837" s="5" t="s">
        <v>1676</v>
      </c>
      <c r="C837" s="6"/>
      <c r="D837" s="7">
        <v>45425.0</v>
      </c>
      <c r="E837" s="7">
        <v>45814.0</v>
      </c>
      <c r="F837" s="7">
        <v>45814.0</v>
      </c>
    </row>
    <row r="838">
      <c r="A838" s="4" t="s">
        <v>1677</v>
      </c>
      <c r="B838" s="5" t="s">
        <v>1678</v>
      </c>
      <c r="C838" s="6"/>
      <c r="D838" s="7">
        <v>45425.0</v>
      </c>
      <c r="E838" s="7">
        <v>45835.0</v>
      </c>
      <c r="F838" s="7">
        <v>45835.0</v>
      </c>
    </row>
    <row r="839">
      <c r="A839" s="4" t="s">
        <v>1679</v>
      </c>
      <c r="B839" s="5" t="s">
        <v>1680</v>
      </c>
      <c r="C839" s="6"/>
      <c r="D839" s="7">
        <v>45425.0</v>
      </c>
      <c r="E839" s="7">
        <v>45814.0</v>
      </c>
      <c r="F839" s="7">
        <v>45814.0</v>
      </c>
    </row>
    <row r="840">
      <c r="A840" s="4" t="s">
        <v>1681</v>
      </c>
      <c r="B840" s="5" t="s">
        <v>1682</v>
      </c>
      <c r="C840" s="6"/>
      <c r="D840" s="7">
        <v>45425.0</v>
      </c>
      <c r="E840" s="7">
        <v>45821.0</v>
      </c>
      <c r="F840" s="7">
        <v>45821.0</v>
      </c>
    </row>
    <row r="841">
      <c r="A841" s="4" t="s">
        <v>1683</v>
      </c>
      <c r="B841" s="5" t="s">
        <v>1684</v>
      </c>
      <c r="C841" s="6"/>
      <c r="D841" s="7">
        <v>45425.0</v>
      </c>
      <c r="E841" s="7">
        <v>45814.0</v>
      </c>
      <c r="F841" s="7">
        <v>45814.0</v>
      </c>
    </row>
    <row r="842">
      <c r="A842" s="4" t="s">
        <v>1685</v>
      </c>
      <c r="B842" s="5" t="s">
        <v>1686</v>
      </c>
      <c r="C842" s="6"/>
      <c r="D842" s="7">
        <v>45426.0</v>
      </c>
      <c r="E842" s="7">
        <v>45819.0</v>
      </c>
      <c r="F842" s="7">
        <v>45819.0</v>
      </c>
    </row>
    <row r="843">
      <c r="A843" s="4" t="s">
        <v>1687</v>
      </c>
      <c r="B843" s="5" t="s">
        <v>1688</v>
      </c>
      <c r="C843" s="6"/>
      <c r="D843" s="7">
        <v>45426.0</v>
      </c>
      <c r="E843" s="7">
        <v>45814.0</v>
      </c>
      <c r="F843" s="7">
        <v>45814.0</v>
      </c>
    </row>
    <row r="844">
      <c r="A844" s="4" t="s">
        <v>1689</v>
      </c>
      <c r="B844" s="5" t="s">
        <v>1690</v>
      </c>
      <c r="C844" s="6"/>
      <c r="D844" s="7">
        <v>45426.0</v>
      </c>
      <c r="E844" s="7">
        <v>45818.0</v>
      </c>
      <c r="F844" s="7">
        <v>45818.0</v>
      </c>
    </row>
    <row r="845">
      <c r="A845" s="4" t="s">
        <v>1691</v>
      </c>
      <c r="B845" s="5" t="s">
        <v>1692</v>
      </c>
      <c r="C845" s="6"/>
      <c r="D845" s="7">
        <v>45426.0</v>
      </c>
      <c r="E845" s="7">
        <v>45814.0</v>
      </c>
      <c r="F845" s="7">
        <v>45814.0</v>
      </c>
    </row>
    <row r="846">
      <c r="A846" s="4" t="s">
        <v>1693</v>
      </c>
      <c r="B846" s="5" t="s">
        <v>1694</v>
      </c>
      <c r="C846" s="6"/>
      <c r="D846" s="7">
        <v>45426.0</v>
      </c>
      <c r="E846" s="7">
        <v>45811.0</v>
      </c>
      <c r="F846" s="7">
        <v>45811.0</v>
      </c>
    </row>
    <row r="847">
      <c r="A847" s="4" t="s">
        <v>1695</v>
      </c>
      <c r="B847" s="5" t="s">
        <v>1696</v>
      </c>
      <c r="C847" s="6"/>
      <c r="D847" s="7">
        <v>45426.0</v>
      </c>
      <c r="E847" s="7">
        <v>45812.0</v>
      </c>
      <c r="F847" s="7">
        <v>45812.0</v>
      </c>
    </row>
    <row r="848">
      <c r="A848" s="4" t="s">
        <v>1697</v>
      </c>
      <c r="B848" s="5" t="s">
        <v>1698</v>
      </c>
      <c r="C848" s="6"/>
      <c r="D848" s="7">
        <v>45426.0</v>
      </c>
      <c r="E848" s="7">
        <v>45821.0</v>
      </c>
      <c r="F848" s="7">
        <v>45821.0</v>
      </c>
    </row>
    <row r="849">
      <c r="A849" s="4" t="s">
        <v>1699</v>
      </c>
      <c r="B849" s="5" t="s">
        <v>1700</v>
      </c>
      <c r="C849" s="6"/>
      <c r="D849" s="7">
        <v>45426.0</v>
      </c>
      <c r="E849" s="7">
        <v>45813.0</v>
      </c>
      <c r="F849" s="7">
        <v>45813.0</v>
      </c>
    </row>
    <row r="850">
      <c r="A850" s="4" t="s">
        <v>1701</v>
      </c>
      <c r="B850" s="5" t="s">
        <v>1702</v>
      </c>
      <c r="C850" s="6"/>
      <c r="D850" s="7">
        <v>45426.0</v>
      </c>
      <c r="E850" s="7">
        <v>45811.0</v>
      </c>
      <c r="F850" s="7">
        <v>45811.0</v>
      </c>
    </row>
    <row r="851">
      <c r="A851" s="4" t="s">
        <v>1703</v>
      </c>
      <c r="B851" s="5" t="s">
        <v>1704</v>
      </c>
      <c r="C851" s="6"/>
      <c r="D851" s="7">
        <v>45426.0</v>
      </c>
      <c r="E851" s="7">
        <v>45814.0</v>
      </c>
      <c r="F851" s="7">
        <v>45814.0</v>
      </c>
    </row>
    <row r="852">
      <c r="A852" s="4" t="s">
        <v>1705</v>
      </c>
      <c r="B852" s="5" t="s">
        <v>1706</v>
      </c>
      <c r="C852" s="6"/>
      <c r="D852" s="7">
        <v>45426.0</v>
      </c>
      <c r="E852" s="7">
        <v>45814.0</v>
      </c>
      <c r="F852" s="7">
        <v>45814.0</v>
      </c>
    </row>
    <row r="853">
      <c r="A853" s="4" t="s">
        <v>1707</v>
      </c>
      <c r="B853" s="5" t="s">
        <v>1708</v>
      </c>
      <c r="C853" s="6"/>
      <c r="D853" s="7">
        <v>45426.0</v>
      </c>
      <c r="E853" s="7">
        <v>45814.0</v>
      </c>
      <c r="F853" s="7">
        <v>45814.0</v>
      </c>
    </row>
    <row r="854">
      <c r="A854" s="4" t="s">
        <v>1709</v>
      </c>
      <c r="B854" s="5" t="s">
        <v>1710</v>
      </c>
      <c r="C854" s="6"/>
      <c r="D854" s="7">
        <v>45426.0</v>
      </c>
      <c r="E854" s="7">
        <v>45784.0</v>
      </c>
      <c r="F854" s="7">
        <v>45784.0</v>
      </c>
    </row>
    <row r="855">
      <c r="A855" s="4" t="s">
        <v>1711</v>
      </c>
      <c r="B855" s="5" t="s">
        <v>1712</v>
      </c>
      <c r="C855" s="6"/>
      <c r="D855" s="7">
        <v>45426.0</v>
      </c>
      <c r="E855" s="7">
        <v>45814.0</v>
      </c>
      <c r="F855" s="7">
        <v>45814.0</v>
      </c>
    </row>
    <row r="856">
      <c r="A856" s="4" t="s">
        <v>1713</v>
      </c>
      <c r="B856" s="5" t="s">
        <v>1714</v>
      </c>
      <c r="C856" s="6"/>
      <c r="D856" s="7">
        <v>45426.0</v>
      </c>
      <c r="E856" s="7">
        <v>45813.0</v>
      </c>
      <c r="F856" s="7">
        <v>45813.0</v>
      </c>
    </row>
    <row r="857">
      <c r="A857" s="4" t="s">
        <v>1715</v>
      </c>
      <c r="B857" s="5" t="s">
        <v>1716</v>
      </c>
      <c r="C857" s="6"/>
      <c r="D857" s="7">
        <v>45426.0</v>
      </c>
      <c r="E857" s="7">
        <v>45818.0</v>
      </c>
      <c r="F857" s="7">
        <v>45818.0</v>
      </c>
    </row>
    <row r="858">
      <c r="A858" s="4" t="s">
        <v>1717</v>
      </c>
      <c r="B858" s="5" t="s">
        <v>1718</v>
      </c>
      <c r="C858" s="6"/>
      <c r="D858" s="7">
        <v>45426.0</v>
      </c>
      <c r="E858" s="7">
        <v>45814.0</v>
      </c>
      <c r="F858" s="7">
        <v>45814.0</v>
      </c>
    </row>
    <row r="859">
      <c r="A859" s="4" t="s">
        <v>1719</v>
      </c>
      <c r="B859" s="5" t="s">
        <v>1720</v>
      </c>
      <c r="C859" s="6"/>
      <c r="D859" s="7">
        <v>45426.0</v>
      </c>
      <c r="E859" s="7">
        <v>45846.0</v>
      </c>
      <c r="F859" s="7">
        <v>45846.0</v>
      </c>
    </row>
    <row r="860">
      <c r="A860" s="4" t="s">
        <v>1721</v>
      </c>
      <c r="B860" s="5" t="s">
        <v>1722</v>
      </c>
      <c r="C860" s="6"/>
      <c r="D860" s="7">
        <v>45426.0</v>
      </c>
      <c r="E860" s="7">
        <v>45450.0</v>
      </c>
      <c r="F860" s="7">
        <v>45450.0</v>
      </c>
    </row>
    <row r="861">
      <c r="A861" s="4" t="s">
        <v>1723</v>
      </c>
      <c r="B861" s="5" t="s">
        <v>1724</v>
      </c>
      <c r="C861" s="6"/>
      <c r="D861" s="7">
        <v>45426.0</v>
      </c>
      <c r="E861" s="7">
        <v>45807.0</v>
      </c>
      <c r="F861" s="7">
        <v>45807.0</v>
      </c>
    </row>
    <row r="862">
      <c r="A862" s="4" t="s">
        <v>1725</v>
      </c>
      <c r="B862" s="5" t="s">
        <v>1726</v>
      </c>
      <c r="C862" s="6"/>
      <c r="D862" s="7">
        <v>45426.0</v>
      </c>
      <c r="E862" s="7">
        <v>45806.0</v>
      </c>
      <c r="F862" s="7">
        <v>45806.0</v>
      </c>
    </row>
    <row r="863">
      <c r="A863" s="4" t="s">
        <v>1727</v>
      </c>
      <c r="B863" s="5" t="s">
        <v>1728</v>
      </c>
      <c r="C863" s="6"/>
      <c r="D863" s="7">
        <v>45426.0</v>
      </c>
      <c r="E863" s="7">
        <v>45450.0</v>
      </c>
      <c r="F863" s="7">
        <v>45450.0</v>
      </c>
    </row>
    <row r="864">
      <c r="A864" s="4" t="s">
        <v>1729</v>
      </c>
      <c r="B864" s="5" t="s">
        <v>1730</v>
      </c>
      <c r="C864" s="6"/>
      <c r="D864" s="7">
        <v>45426.0</v>
      </c>
      <c r="E864" s="7">
        <v>45813.0</v>
      </c>
      <c r="F864" s="7">
        <v>45813.0</v>
      </c>
    </row>
    <row r="865">
      <c r="A865" s="4" t="s">
        <v>1731</v>
      </c>
      <c r="B865" s="5" t="s">
        <v>1732</v>
      </c>
      <c r="C865" s="6"/>
      <c r="D865" s="7">
        <v>45426.0</v>
      </c>
      <c r="E865" s="7">
        <v>45813.0</v>
      </c>
      <c r="F865" s="7">
        <v>45813.0</v>
      </c>
    </row>
    <row r="866">
      <c r="A866" s="4" t="s">
        <v>1733</v>
      </c>
      <c r="B866" s="5" t="s">
        <v>1734</v>
      </c>
      <c r="C866" s="6"/>
      <c r="D866" s="7">
        <v>45426.0</v>
      </c>
      <c r="E866" s="7">
        <v>45819.0</v>
      </c>
      <c r="F866" s="7">
        <v>45819.0</v>
      </c>
    </row>
    <row r="867">
      <c r="A867" s="4" t="s">
        <v>1735</v>
      </c>
      <c r="B867" s="5" t="s">
        <v>1736</v>
      </c>
      <c r="C867" s="6"/>
      <c r="D867" s="7">
        <v>45426.0</v>
      </c>
      <c r="E867" s="7">
        <v>45819.0</v>
      </c>
      <c r="F867" s="7">
        <v>45819.0</v>
      </c>
    </row>
    <row r="868">
      <c r="A868" s="4" t="s">
        <v>1737</v>
      </c>
      <c r="B868" s="5" t="s">
        <v>1738</v>
      </c>
      <c r="C868" s="6"/>
      <c r="D868" s="7">
        <v>45426.0</v>
      </c>
      <c r="E868" s="7">
        <v>45806.0</v>
      </c>
      <c r="F868" s="7">
        <v>45806.0</v>
      </c>
    </row>
    <row r="869">
      <c r="A869" s="4" t="s">
        <v>1739</v>
      </c>
      <c r="B869" s="5" t="s">
        <v>1740</v>
      </c>
      <c r="C869" s="6"/>
      <c r="D869" s="7">
        <v>45426.0</v>
      </c>
      <c r="E869" s="7">
        <v>45798.0</v>
      </c>
      <c r="F869" s="7">
        <v>45798.0</v>
      </c>
    </row>
    <row r="870">
      <c r="A870" s="4" t="s">
        <v>1741</v>
      </c>
      <c r="B870" s="5" t="s">
        <v>1742</v>
      </c>
      <c r="C870" s="6"/>
      <c r="D870" s="7">
        <v>45426.0</v>
      </c>
      <c r="E870" s="7">
        <v>45834.0</v>
      </c>
      <c r="F870" s="7">
        <v>45834.0</v>
      </c>
    </row>
    <row r="871">
      <c r="A871" s="4" t="s">
        <v>1743</v>
      </c>
      <c r="B871" s="5" t="s">
        <v>1744</v>
      </c>
      <c r="C871" s="6"/>
      <c r="D871" s="7">
        <v>45426.0</v>
      </c>
      <c r="E871" s="7">
        <v>45812.0</v>
      </c>
      <c r="F871" s="7">
        <v>45812.0</v>
      </c>
    </row>
    <row r="872">
      <c r="A872" s="4" t="s">
        <v>1745</v>
      </c>
      <c r="B872" s="5" t="s">
        <v>1746</v>
      </c>
      <c r="C872" s="6"/>
      <c r="D872" s="7">
        <v>45426.0</v>
      </c>
      <c r="E872" s="7">
        <v>45819.0</v>
      </c>
      <c r="F872" s="7">
        <v>45819.0</v>
      </c>
    </row>
    <row r="873">
      <c r="A873" s="4" t="s">
        <v>1747</v>
      </c>
      <c r="B873" s="5" t="s">
        <v>1748</v>
      </c>
      <c r="C873" s="6"/>
      <c r="D873" s="7">
        <v>45426.0</v>
      </c>
      <c r="E873" s="7">
        <v>45813.0</v>
      </c>
      <c r="F873" s="7">
        <v>45813.0</v>
      </c>
    </row>
    <row r="874">
      <c r="A874" s="4" t="s">
        <v>1749</v>
      </c>
      <c r="B874" s="5" t="s">
        <v>1750</v>
      </c>
      <c r="C874" s="6"/>
      <c r="D874" s="7">
        <v>45426.0</v>
      </c>
      <c r="E874" s="7">
        <v>45813.0</v>
      </c>
      <c r="F874" s="7">
        <v>45813.0</v>
      </c>
    </row>
    <row r="875">
      <c r="A875" s="4" t="s">
        <v>1751</v>
      </c>
      <c r="B875" s="5" t="s">
        <v>1752</v>
      </c>
      <c r="C875" s="6"/>
      <c r="D875" s="7">
        <v>45426.0</v>
      </c>
      <c r="E875" s="7">
        <v>45821.0</v>
      </c>
      <c r="F875" s="7">
        <v>45821.0</v>
      </c>
    </row>
    <row r="876">
      <c r="A876" s="4" t="s">
        <v>1753</v>
      </c>
      <c r="B876" s="5" t="s">
        <v>1754</v>
      </c>
      <c r="C876" s="6"/>
      <c r="D876" s="7">
        <v>45426.0</v>
      </c>
      <c r="E876" s="7">
        <v>45818.0</v>
      </c>
      <c r="F876" s="7">
        <v>45818.0</v>
      </c>
    </row>
    <row r="877">
      <c r="A877" s="4" t="s">
        <v>1755</v>
      </c>
      <c r="B877" s="5" t="s">
        <v>1756</v>
      </c>
      <c r="C877" s="6"/>
      <c r="D877" s="7">
        <v>45426.0</v>
      </c>
      <c r="E877" s="7">
        <v>45813.0</v>
      </c>
      <c r="F877" s="7">
        <v>45813.0</v>
      </c>
    </row>
    <row r="878">
      <c r="A878" s="4" t="s">
        <v>1757</v>
      </c>
      <c r="B878" s="5" t="s">
        <v>1758</v>
      </c>
      <c r="C878" s="6"/>
      <c r="D878" s="7">
        <v>45426.0</v>
      </c>
      <c r="E878" s="7">
        <v>45820.0</v>
      </c>
      <c r="F878" s="7">
        <v>45820.0</v>
      </c>
    </row>
    <row r="879">
      <c r="A879" s="4" t="s">
        <v>1759</v>
      </c>
      <c r="B879" s="5" t="s">
        <v>1760</v>
      </c>
      <c r="C879" s="6"/>
      <c r="D879" s="7">
        <v>45426.0</v>
      </c>
      <c r="E879" s="7">
        <v>45789.0</v>
      </c>
      <c r="F879" s="7">
        <v>45789.0</v>
      </c>
    </row>
    <row r="880">
      <c r="A880" s="4" t="s">
        <v>1761</v>
      </c>
      <c r="B880" s="5" t="s">
        <v>1762</v>
      </c>
      <c r="C880" s="6"/>
      <c r="D880" s="7">
        <v>45426.0</v>
      </c>
      <c r="E880" s="7">
        <v>45819.0</v>
      </c>
      <c r="F880" s="7">
        <v>45819.0</v>
      </c>
    </row>
    <row r="881">
      <c r="A881" s="4" t="s">
        <v>1763</v>
      </c>
      <c r="B881" s="5" t="s">
        <v>1764</v>
      </c>
      <c r="C881" s="6"/>
      <c r="D881" s="7">
        <v>45426.0</v>
      </c>
      <c r="E881" s="7">
        <v>45806.0</v>
      </c>
      <c r="F881" s="7">
        <v>45806.0</v>
      </c>
    </row>
    <row r="882">
      <c r="A882" s="4" t="s">
        <v>1765</v>
      </c>
      <c r="B882" s="5" t="s">
        <v>1766</v>
      </c>
      <c r="C882" s="6"/>
      <c r="D882" s="7">
        <v>45426.0</v>
      </c>
      <c r="E882" s="7">
        <v>45813.0</v>
      </c>
      <c r="F882" s="7">
        <v>45813.0</v>
      </c>
    </row>
    <row r="883">
      <c r="A883" s="4" t="s">
        <v>1767</v>
      </c>
      <c r="B883" s="5" t="s">
        <v>1768</v>
      </c>
      <c r="C883" s="6"/>
      <c r="D883" s="7">
        <v>45426.0</v>
      </c>
      <c r="E883" s="7">
        <v>45812.0</v>
      </c>
      <c r="F883" s="7">
        <v>45812.0</v>
      </c>
    </row>
    <row r="884">
      <c r="A884" s="4" t="s">
        <v>1769</v>
      </c>
      <c r="B884" s="5" t="s">
        <v>1770</v>
      </c>
      <c r="C884" s="6"/>
      <c r="D884" s="7">
        <v>45426.0</v>
      </c>
      <c r="E884" s="7">
        <v>45820.0</v>
      </c>
      <c r="F884" s="7">
        <v>45820.0</v>
      </c>
    </row>
    <row r="885">
      <c r="A885" s="4" t="s">
        <v>1771</v>
      </c>
      <c r="B885" s="5" t="s">
        <v>1772</v>
      </c>
      <c r="C885" s="6"/>
      <c r="D885" s="7">
        <v>45426.0</v>
      </c>
      <c r="E885" s="7">
        <v>45813.0</v>
      </c>
      <c r="F885" s="7">
        <v>45813.0</v>
      </c>
    </row>
    <row r="886">
      <c r="A886" s="4" t="s">
        <v>1773</v>
      </c>
      <c r="B886" s="5" t="s">
        <v>1774</v>
      </c>
      <c r="C886" s="6"/>
      <c r="D886" s="7">
        <v>45426.0</v>
      </c>
      <c r="E886" s="7">
        <v>45813.0</v>
      </c>
      <c r="F886" s="7">
        <v>45813.0</v>
      </c>
    </row>
    <row r="887">
      <c r="A887" s="4" t="s">
        <v>1775</v>
      </c>
      <c r="B887" s="5" t="s">
        <v>1776</v>
      </c>
      <c r="C887" s="6"/>
      <c r="D887" s="7">
        <v>45426.0</v>
      </c>
      <c r="E887" s="7">
        <v>45820.0</v>
      </c>
      <c r="F887" s="7">
        <v>45820.0</v>
      </c>
    </row>
    <row r="888">
      <c r="A888" s="4" t="s">
        <v>1777</v>
      </c>
      <c r="B888" s="5" t="s">
        <v>1778</v>
      </c>
      <c r="C888" s="6"/>
      <c r="D888" s="7">
        <v>45426.0</v>
      </c>
      <c r="E888" s="7">
        <v>45813.0</v>
      </c>
      <c r="F888" s="7">
        <v>45813.0</v>
      </c>
    </row>
    <row r="889">
      <c r="A889" s="4" t="s">
        <v>1779</v>
      </c>
      <c r="B889" s="5" t="s">
        <v>1780</v>
      </c>
      <c r="C889" s="6"/>
      <c r="D889" s="7">
        <v>45426.0</v>
      </c>
      <c r="E889" s="7">
        <v>45813.0</v>
      </c>
      <c r="F889" s="7">
        <v>45813.0</v>
      </c>
    </row>
    <row r="890">
      <c r="A890" s="4" t="s">
        <v>1781</v>
      </c>
      <c r="B890" s="5" t="s">
        <v>1782</v>
      </c>
      <c r="C890" s="6"/>
      <c r="D890" s="7">
        <v>45426.0</v>
      </c>
      <c r="E890" s="7">
        <v>45813.0</v>
      </c>
      <c r="F890" s="7">
        <v>45813.0</v>
      </c>
    </row>
    <row r="891">
      <c r="A891" s="4" t="s">
        <v>1783</v>
      </c>
      <c r="B891" s="5" t="s">
        <v>1784</v>
      </c>
      <c r="C891" s="6"/>
      <c r="D891" s="7">
        <v>45426.0</v>
      </c>
      <c r="E891" s="7">
        <v>45826.0</v>
      </c>
      <c r="F891" s="7">
        <v>45826.0</v>
      </c>
    </row>
    <row r="892">
      <c r="A892" s="4" t="s">
        <v>1785</v>
      </c>
      <c r="B892" s="5" t="s">
        <v>1786</v>
      </c>
      <c r="C892" s="6"/>
      <c r="D892" s="7">
        <v>45426.0</v>
      </c>
      <c r="E892" s="7">
        <v>45449.0</v>
      </c>
      <c r="F892" s="7">
        <v>45449.0</v>
      </c>
    </row>
    <row r="893">
      <c r="A893" s="4" t="s">
        <v>1787</v>
      </c>
      <c r="B893" s="5" t="s">
        <v>1788</v>
      </c>
      <c r="C893" s="6"/>
      <c r="D893" s="7">
        <v>45426.0</v>
      </c>
      <c r="E893" s="7">
        <v>45813.0</v>
      </c>
      <c r="F893" s="7">
        <v>45813.0</v>
      </c>
    </row>
    <row r="894">
      <c r="A894" s="4" t="s">
        <v>1789</v>
      </c>
      <c r="B894" s="5" t="s">
        <v>1790</v>
      </c>
      <c r="C894" s="6"/>
      <c r="D894" s="7">
        <v>45426.0</v>
      </c>
      <c r="E894" s="7">
        <v>45813.0</v>
      </c>
      <c r="F894" s="7">
        <v>45813.0</v>
      </c>
    </row>
    <row r="895">
      <c r="A895" s="4" t="s">
        <v>1791</v>
      </c>
      <c r="B895" s="5" t="s">
        <v>1792</v>
      </c>
      <c r="C895" s="6"/>
      <c r="D895" s="7">
        <v>45426.0</v>
      </c>
      <c r="E895" s="7">
        <v>45813.0</v>
      </c>
      <c r="F895" s="7">
        <v>45813.0</v>
      </c>
    </row>
    <row r="896">
      <c r="A896" s="4" t="s">
        <v>1793</v>
      </c>
      <c r="B896" s="5" t="s">
        <v>1794</v>
      </c>
      <c r="C896" s="6"/>
      <c r="D896" s="7">
        <v>45426.0</v>
      </c>
      <c r="E896" s="7">
        <v>45813.0</v>
      </c>
      <c r="F896" s="7">
        <v>45813.0</v>
      </c>
    </row>
    <row r="897">
      <c r="A897" s="4" t="s">
        <v>1795</v>
      </c>
      <c r="B897" s="5" t="s">
        <v>1796</v>
      </c>
      <c r="C897" s="6"/>
      <c r="D897" s="7">
        <v>45426.0</v>
      </c>
      <c r="E897" s="7">
        <v>45812.0</v>
      </c>
      <c r="F897" s="7">
        <v>45812.0</v>
      </c>
    </row>
    <row r="898">
      <c r="A898" s="4" t="s">
        <v>1797</v>
      </c>
      <c r="B898" s="5" t="s">
        <v>1798</v>
      </c>
      <c r="C898" s="6"/>
      <c r="D898" s="7">
        <v>45426.0</v>
      </c>
      <c r="E898" s="7">
        <v>45820.0</v>
      </c>
      <c r="F898" s="7">
        <v>45820.0</v>
      </c>
    </row>
    <row r="899">
      <c r="A899" s="4" t="s">
        <v>1799</v>
      </c>
      <c r="B899" s="5" t="s">
        <v>1800</v>
      </c>
      <c r="C899" s="6"/>
      <c r="D899" s="7">
        <v>45426.0</v>
      </c>
      <c r="E899" s="7">
        <v>45810.0</v>
      </c>
      <c r="F899" s="7">
        <v>45810.0</v>
      </c>
    </row>
    <row r="900">
      <c r="A900" s="4" t="s">
        <v>1801</v>
      </c>
      <c r="B900" s="5" t="s">
        <v>1802</v>
      </c>
      <c r="C900" s="6"/>
      <c r="D900" s="7">
        <v>45426.0</v>
      </c>
      <c r="E900" s="7">
        <v>45812.0</v>
      </c>
      <c r="F900" s="7">
        <v>45812.0</v>
      </c>
    </row>
    <row r="901">
      <c r="A901" s="4" t="s">
        <v>1803</v>
      </c>
      <c r="B901" s="5" t="s">
        <v>1804</v>
      </c>
      <c r="C901" s="6"/>
      <c r="D901" s="7">
        <v>45426.0</v>
      </c>
      <c r="E901" s="7">
        <v>45813.0</v>
      </c>
      <c r="F901" s="7">
        <v>45813.0</v>
      </c>
    </row>
    <row r="902">
      <c r="A902" s="4" t="s">
        <v>1805</v>
      </c>
      <c r="B902" s="5" t="s">
        <v>1806</v>
      </c>
      <c r="C902" s="6"/>
      <c r="D902" s="7">
        <v>45426.0</v>
      </c>
      <c r="E902" s="7">
        <v>45813.0</v>
      </c>
      <c r="F902" s="7">
        <v>45813.0</v>
      </c>
    </row>
    <row r="903">
      <c r="A903" s="4" t="s">
        <v>1807</v>
      </c>
      <c r="B903" s="5" t="s">
        <v>1808</v>
      </c>
      <c r="C903" s="6"/>
      <c r="D903" s="7">
        <v>45426.0</v>
      </c>
      <c r="E903" s="7">
        <v>45813.0</v>
      </c>
      <c r="F903" s="7">
        <v>45813.0</v>
      </c>
    </row>
    <row r="904">
      <c r="A904" s="4" t="s">
        <v>1809</v>
      </c>
      <c r="B904" s="5" t="s">
        <v>1810</v>
      </c>
      <c r="C904" s="6"/>
      <c r="D904" s="7">
        <v>45426.0</v>
      </c>
      <c r="E904" s="7">
        <v>45817.0</v>
      </c>
      <c r="F904" s="7">
        <v>45817.0</v>
      </c>
    </row>
    <row r="905">
      <c r="A905" s="4" t="s">
        <v>1811</v>
      </c>
      <c r="B905" s="5" t="s">
        <v>1812</v>
      </c>
      <c r="C905" s="6"/>
      <c r="D905" s="7">
        <v>45426.0</v>
      </c>
      <c r="E905" s="7">
        <v>45813.0</v>
      </c>
      <c r="F905" s="7">
        <v>45813.0</v>
      </c>
    </row>
    <row r="906">
      <c r="A906" s="4" t="s">
        <v>1813</v>
      </c>
      <c r="B906" s="5" t="s">
        <v>1814</v>
      </c>
      <c r="C906" s="6"/>
      <c r="D906" s="7">
        <v>45427.0</v>
      </c>
      <c r="E906" s="7">
        <v>45813.0</v>
      </c>
      <c r="F906" s="7">
        <v>45813.0</v>
      </c>
    </row>
    <row r="907">
      <c r="A907" s="4" t="s">
        <v>1815</v>
      </c>
      <c r="B907" s="5" t="s">
        <v>1816</v>
      </c>
      <c r="C907" s="6"/>
      <c r="D907" s="7">
        <v>45427.0</v>
      </c>
      <c r="E907" s="7">
        <v>45813.0</v>
      </c>
      <c r="F907" s="7">
        <v>45813.0</v>
      </c>
    </row>
    <row r="908">
      <c r="A908" s="4" t="s">
        <v>1817</v>
      </c>
      <c r="B908" s="5" t="s">
        <v>1818</v>
      </c>
      <c r="C908" s="6"/>
      <c r="D908" s="7">
        <v>45427.0</v>
      </c>
      <c r="E908" s="7">
        <v>45814.0</v>
      </c>
      <c r="F908" s="7">
        <v>45814.0</v>
      </c>
    </row>
    <row r="909">
      <c r="A909" s="4" t="s">
        <v>1819</v>
      </c>
      <c r="B909" s="5" t="s">
        <v>1820</v>
      </c>
      <c r="C909" s="6"/>
      <c r="D909" s="7">
        <v>45427.0</v>
      </c>
      <c r="E909" s="7">
        <v>45820.0</v>
      </c>
      <c r="F909" s="7">
        <v>45820.0</v>
      </c>
    </row>
    <row r="910">
      <c r="A910" s="4" t="s">
        <v>1821</v>
      </c>
      <c r="B910" s="5" t="s">
        <v>1822</v>
      </c>
      <c r="C910" s="6"/>
      <c r="D910" s="7">
        <v>45427.0</v>
      </c>
      <c r="E910" s="7">
        <v>45812.0</v>
      </c>
      <c r="F910" s="7">
        <v>45812.0</v>
      </c>
    </row>
    <row r="911">
      <c r="A911" s="4" t="s">
        <v>1823</v>
      </c>
      <c r="B911" s="5" t="s">
        <v>1824</v>
      </c>
      <c r="C911" s="6"/>
      <c r="D911" s="7">
        <v>45427.0</v>
      </c>
      <c r="E911" s="7">
        <v>45812.0</v>
      </c>
      <c r="F911" s="7">
        <v>45812.0</v>
      </c>
    </row>
    <row r="912">
      <c r="A912" s="4" t="s">
        <v>1825</v>
      </c>
      <c r="B912" s="5" t="s">
        <v>1826</v>
      </c>
      <c r="C912" s="6"/>
      <c r="D912" s="7">
        <v>45427.0</v>
      </c>
      <c r="E912" s="7">
        <v>45819.0</v>
      </c>
      <c r="F912" s="7">
        <v>45819.0</v>
      </c>
    </row>
    <row r="913">
      <c r="A913" s="4" t="s">
        <v>1827</v>
      </c>
      <c r="B913" s="5" t="s">
        <v>1828</v>
      </c>
      <c r="C913" s="6"/>
      <c r="D913" s="7">
        <v>45427.0</v>
      </c>
      <c r="E913" s="7">
        <v>45813.0</v>
      </c>
      <c r="F913" s="7">
        <v>45813.0</v>
      </c>
    </row>
    <row r="914">
      <c r="A914" s="4" t="s">
        <v>1829</v>
      </c>
      <c r="B914" s="5" t="s">
        <v>1830</v>
      </c>
      <c r="C914" s="6"/>
      <c r="D914" s="7">
        <v>45427.0</v>
      </c>
      <c r="E914" s="7">
        <v>45813.0</v>
      </c>
      <c r="F914" s="7">
        <v>45813.0</v>
      </c>
    </row>
    <row r="915">
      <c r="A915" s="4" t="s">
        <v>1831</v>
      </c>
      <c r="B915" s="5" t="s">
        <v>1832</v>
      </c>
      <c r="C915" s="6"/>
      <c r="D915" s="7">
        <v>45427.0</v>
      </c>
      <c r="E915" s="7">
        <v>45813.0</v>
      </c>
      <c r="F915" s="7">
        <v>45813.0</v>
      </c>
    </row>
    <row r="916">
      <c r="A916" s="4" t="s">
        <v>1833</v>
      </c>
      <c r="B916" s="5" t="s">
        <v>1834</v>
      </c>
      <c r="C916" s="6"/>
      <c r="D916" s="7">
        <v>45427.0</v>
      </c>
      <c r="E916" s="7">
        <v>45813.0</v>
      </c>
      <c r="F916" s="7">
        <v>45813.0</v>
      </c>
    </row>
    <row r="917">
      <c r="A917" s="4" t="s">
        <v>1835</v>
      </c>
      <c r="B917" s="5" t="s">
        <v>1836</v>
      </c>
      <c r="C917" s="6"/>
      <c r="D917" s="7">
        <v>45427.0</v>
      </c>
      <c r="E917" s="7">
        <v>45811.0</v>
      </c>
      <c r="F917" s="7">
        <v>45811.0</v>
      </c>
    </row>
    <row r="918">
      <c r="A918" s="4" t="s">
        <v>1837</v>
      </c>
      <c r="B918" s="5" t="s">
        <v>1838</v>
      </c>
      <c r="C918" s="6"/>
      <c r="D918" s="7">
        <v>45427.0</v>
      </c>
      <c r="E918" s="7">
        <v>45811.0</v>
      </c>
      <c r="F918" s="7">
        <v>45811.0</v>
      </c>
    </row>
    <row r="919">
      <c r="A919" s="4" t="s">
        <v>1839</v>
      </c>
      <c r="B919" s="5" t="s">
        <v>1840</v>
      </c>
      <c r="C919" s="6"/>
      <c r="D919" s="7">
        <v>45427.0</v>
      </c>
      <c r="E919" s="7">
        <v>45813.0</v>
      </c>
      <c r="F919" s="7">
        <v>45813.0</v>
      </c>
    </row>
    <row r="920">
      <c r="A920" s="4" t="s">
        <v>1841</v>
      </c>
      <c r="B920" s="5" t="s">
        <v>1842</v>
      </c>
      <c r="C920" s="6"/>
      <c r="D920" s="7">
        <v>45427.0</v>
      </c>
      <c r="E920" s="7">
        <v>45813.0</v>
      </c>
      <c r="F920" s="7">
        <v>45813.0</v>
      </c>
    </row>
    <row r="921">
      <c r="A921" s="4" t="s">
        <v>1843</v>
      </c>
      <c r="B921" s="5" t="s">
        <v>1844</v>
      </c>
      <c r="C921" s="6"/>
      <c r="D921" s="7">
        <v>45427.0</v>
      </c>
      <c r="E921" s="7">
        <v>45813.0</v>
      </c>
      <c r="F921" s="7">
        <v>45813.0</v>
      </c>
    </row>
    <row r="922">
      <c r="A922" s="4" t="s">
        <v>1845</v>
      </c>
      <c r="B922" s="5" t="s">
        <v>1846</v>
      </c>
      <c r="C922" s="6"/>
      <c r="D922" s="7">
        <v>45427.0</v>
      </c>
      <c r="E922" s="7">
        <v>45813.0</v>
      </c>
      <c r="F922" s="7">
        <v>45813.0</v>
      </c>
    </row>
    <row r="923">
      <c r="A923" s="4" t="s">
        <v>1847</v>
      </c>
      <c r="B923" s="5" t="s">
        <v>1848</v>
      </c>
      <c r="C923" s="6"/>
      <c r="D923" s="7">
        <v>45427.0</v>
      </c>
      <c r="E923" s="7">
        <v>45813.0</v>
      </c>
      <c r="F923" s="7">
        <v>45813.0</v>
      </c>
    </row>
    <row r="924">
      <c r="A924" s="4" t="s">
        <v>1849</v>
      </c>
      <c r="B924" s="5" t="s">
        <v>1850</v>
      </c>
      <c r="C924" s="6"/>
      <c r="D924" s="7">
        <v>45427.0</v>
      </c>
      <c r="E924" s="7">
        <v>45449.0</v>
      </c>
      <c r="F924" s="7">
        <v>45449.0</v>
      </c>
    </row>
    <row r="925">
      <c r="A925" s="4" t="s">
        <v>1851</v>
      </c>
      <c r="B925" s="5" t="s">
        <v>1852</v>
      </c>
      <c r="C925" s="6"/>
      <c r="D925" s="7">
        <v>45427.0</v>
      </c>
      <c r="E925" s="7">
        <v>45790.0</v>
      </c>
      <c r="F925" s="7">
        <v>45790.0</v>
      </c>
    </row>
    <row r="926">
      <c r="A926" s="4" t="s">
        <v>1853</v>
      </c>
      <c r="B926" s="5" t="s">
        <v>1854</v>
      </c>
      <c r="C926" s="6"/>
      <c r="D926" s="7">
        <v>45427.0</v>
      </c>
      <c r="E926" s="7">
        <v>45835.0</v>
      </c>
      <c r="F926" s="7">
        <v>45835.0</v>
      </c>
    </row>
    <row r="927">
      <c r="A927" s="4" t="s">
        <v>1855</v>
      </c>
      <c r="B927" s="5" t="s">
        <v>1856</v>
      </c>
      <c r="C927" s="6"/>
      <c r="D927" s="7">
        <v>45427.0</v>
      </c>
      <c r="E927" s="7">
        <v>45818.0</v>
      </c>
      <c r="F927" s="7">
        <v>45818.0</v>
      </c>
    </row>
    <row r="928">
      <c r="A928" s="4" t="s">
        <v>1857</v>
      </c>
      <c r="B928" s="5" t="s">
        <v>1858</v>
      </c>
      <c r="C928" s="6"/>
      <c r="D928" s="7">
        <v>45427.0</v>
      </c>
      <c r="E928" s="7">
        <v>45813.0</v>
      </c>
      <c r="F928" s="7">
        <v>45813.0</v>
      </c>
    </row>
    <row r="929">
      <c r="A929" s="4" t="s">
        <v>1859</v>
      </c>
      <c r="B929" s="5" t="s">
        <v>1860</v>
      </c>
      <c r="C929" s="6"/>
      <c r="D929" s="7">
        <v>45427.0</v>
      </c>
      <c r="E929" s="7">
        <v>45449.0</v>
      </c>
      <c r="F929" s="7">
        <v>45449.0</v>
      </c>
    </row>
    <row r="930">
      <c r="A930" s="4" t="s">
        <v>1861</v>
      </c>
      <c r="B930" s="5" t="s">
        <v>1862</v>
      </c>
      <c r="C930" s="6"/>
      <c r="D930" s="7">
        <v>45427.0</v>
      </c>
      <c r="E930" s="7">
        <v>45818.0</v>
      </c>
      <c r="F930" s="7">
        <v>45818.0</v>
      </c>
    </row>
    <row r="931">
      <c r="A931" s="4" t="s">
        <v>1863</v>
      </c>
      <c r="B931" s="5" t="s">
        <v>1864</v>
      </c>
      <c r="C931" s="6"/>
      <c r="D931" s="7">
        <v>45427.0</v>
      </c>
      <c r="E931" s="7">
        <v>45449.0</v>
      </c>
      <c r="F931" s="7">
        <v>45449.0</v>
      </c>
    </row>
    <row r="932">
      <c r="A932" s="4" t="s">
        <v>1865</v>
      </c>
      <c r="B932" s="5" t="s">
        <v>1866</v>
      </c>
      <c r="C932" s="6"/>
      <c r="D932" s="7">
        <v>45427.0</v>
      </c>
      <c r="E932" s="7">
        <v>45813.0</v>
      </c>
      <c r="F932" s="7">
        <v>45813.0</v>
      </c>
    </row>
    <row r="933">
      <c r="A933" s="4" t="s">
        <v>1867</v>
      </c>
      <c r="B933" s="5" t="s">
        <v>1868</v>
      </c>
      <c r="C933" s="6"/>
      <c r="D933" s="7">
        <v>45427.0</v>
      </c>
      <c r="E933" s="7">
        <v>45819.0</v>
      </c>
      <c r="F933" s="7">
        <v>45819.0</v>
      </c>
    </row>
    <row r="934">
      <c r="A934" s="4" t="s">
        <v>1869</v>
      </c>
      <c r="B934" s="5" t="s">
        <v>1870</v>
      </c>
      <c r="C934" s="6"/>
      <c r="D934" s="7">
        <v>45427.0</v>
      </c>
      <c r="E934" s="7">
        <v>45813.0</v>
      </c>
      <c r="F934" s="7">
        <v>45813.0</v>
      </c>
    </row>
    <row r="935">
      <c r="A935" s="4" t="s">
        <v>1871</v>
      </c>
      <c r="B935" s="5" t="s">
        <v>1872</v>
      </c>
      <c r="C935" s="6"/>
      <c r="D935" s="7">
        <v>45427.0</v>
      </c>
      <c r="E935" s="7">
        <v>45813.0</v>
      </c>
      <c r="F935" s="7">
        <v>45813.0</v>
      </c>
    </row>
    <row r="936">
      <c r="A936" s="4" t="s">
        <v>1873</v>
      </c>
      <c r="B936" s="5" t="s">
        <v>1874</v>
      </c>
      <c r="C936" s="6"/>
      <c r="D936" s="7">
        <v>45427.0</v>
      </c>
      <c r="E936" s="7">
        <v>45813.0</v>
      </c>
      <c r="F936" s="7">
        <v>45813.0</v>
      </c>
    </row>
    <row r="937">
      <c r="A937" s="4" t="s">
        <v>1875</v>
      </c>
      <c r="B937" s="5" t="s">
        <v>1876</v>
      </c>
      <c r="C937" s="6"/>
      <c r="D937" s="7">
        <v>45427.0</v>
      </c>
      <c r="E937" s="7">
        <v>45813.0</v>
      </c>
      <c r="F937" s="7">
        <v>45813.0</v>
      </c>
    </row>
    <row r="938">
      <c r="A938" s="4" t="s">
        <v>1877</v>
      </c>
      <c r="B938" s="5" t="s">
        <v>1878</v>
      </c>
      <c r="C938" s="6"/>
      <c r="D938" s="7">
        <v>45427.0</v>
      </c>
      <c r="E938" s="7">
        <v>45813.0</v>
      </c>
      <c r="F938" s="7">
        <v>45813.0</v>
      </c>
    </row>
    <row r="939">
      <c r="A939" s="4" t="s">
        <v>1879</v>
      </c>
      <c r="B939" s="5" t="s">
        <v>1880</v>
      </c>
      <c r="C939" s="6"/>
      <c r="D939" s="7">
        <v>45427.0</v>
      </c>
      <c r="E939" s="7">
        <v>45813.0</v>
      </c>
      <c r="F939" s="7">
        <v>45813.0</v>
      </c>
    </row>
    <row r="940">
      <c r="A940" s="4" t="s">
        <v>1881</v>
      </c>
      <c r="B940" s="5" t="s">
        <v>1882</v>
      </c>
      <c r="C940" s="6"/>
      <c r="D940" s="7">
        <v>45427.0</v>
      </c>
      <c r="E940" s="7">
        <v>45813.0</v>
      </c>
      <c r="F940" s="7">
        <v>45813.0</v>
      </c>
    </row>
    <row r="941">
      <c r="A941" s="4" t="s">
        <v>1883</v>
      </c>
      <c r="B941" s="5" t="s">
        <v>1884</v>
      </c>
      <c r="C941" s="6"/>
      <c r="D941" s="7">
        <v>45427.0</v>
      </c>
      <c r="E941" s="7">
        <v>45818.0</v>
      </c>
      <c r="F941" s="7">
        <v>45818.0</v>
      </c>
    </row>
    <row r="942">
      <c r="A942" s="4" t="s">
        <v>1885</v>
      </c>
      <c r="B942" s="5" t="s">
        <v>1886</v>
      </c>
      <c r="C942" s="6"/>
      <c r="D942" s="7">
        <v>45427.0</v>
      </c>
      <c r="E942" s="7">
        <v>45813.0</v>
      </c>
      <c r="F942" s="7">
        <v>45813.0</v>
      </c>
    </row>
    <row r="943">
      <c r="A943" s="4" t="s">
        <v>1887</v>
      </c>
      <c r="B943" s="5" t="s">
        <v>1888</v>
      </c>
      <c r="C943" s="6"/>
      <c r="D943" s="7">
        <v>45427.0</v>
      </c>
      <c r="E943" s="7">
        <v>45813.0</v>
      </c>
      <c r="F943" s="7">
        <v>45813.0</v>
      </c>
    </row>
    <row r="944">
      <c r="A944" s="4" t="s">
        <v>1889</v>
      </c>
      <c r="B944" s="5" t="s">
        <v>1890</v>
      </c>
      <c r="C944" s="6"/>
      <c r="D944" s="7">
        <v>45427.0</v>
      </c>
      <c r="E944" s="7">
        <v>45813.0</v>
      </c>
      <c r="F944" s="7">
        <v>45813.0</v>
      </c>
    </row>
    <row r="945">
      <c r="A945" s="4" t="s">
        <v>1891</v>
      </c>
      <c r="B945" s="5" t="s">
        <v>1892</v>
      </c>
      <c r="C945" s="6"/>
      <c r="D945" s="7">
        <v>45427.0</v>
      </c>
      <c r="E945" s="7">
        <v>45820.0</v>
      </c>
      <c r="F945" s="7">
        <v>45820.0</v>
      </c>
    </row>
    <row r="946">
      <c r="A946" s="4" t="s">
        <v>1893</v>
      </c>
      <c r="B946" s="5" t="s">
        <v>1894</v>
      </c>
      <c r="C946" s="6"/>
      <c r="D946" s="7">
        <v>45427.0</v>
      </c>
      <c r="E946" s="7">
        <v>45813.0</v>
      </c>
      <c r="F946" s="7">
        <v>45813.0</v>
      </c>
    </row>
    <row r="947">
      <c r="A947" s="4" t="s">
        <v>1895</v>
      </c>
      <c r="B947" s="5" t="s">
        <v>1896</v>
      </c>
      <c r="C947" s="6"/>
      <c r="D947" s="7">
        <v>45427.0</v>
      </c>
      <c r="E947" s="7">
        <v>45813.0</v>
      </c>
      <c r="F947" s="7">
        <v>45813.0</v>
      </c>
    </row>
    <row r="948">
      <c r="A948" s="4" t="s">
        <v>1897</v>
      </c>
      <c r="B948" s="5" t="s">
        <v>1898</v>
      </c>
      <c r="C948" s="6"/>
      <c r="D948" s="7">
        <v>45427.0</v>
      </c>
      <c r="E948" s="7">
        <v>45813.0</v>
      </c>
      <c r="F948" s="7">
        <v>45813.0</v>
      </c>
    </row>
    <row r="949">
      <c r="A949" s="4" t="s">
        <v>1899</v>
      </c>
      <c r="B949" s="5" t="s">
        <v>1900</v>
      </c>
      <c r="C949" s="6"/>
      <c r="D949" s="7">
        <v>45427.0</v>
      </c>
      <c r="E949" s="7">
        <v>45812.0</v>
      </c>
      <c r="F949" s="7">
        <v>45812.0</v>
      </c>
    </row>
    <row r="950">
      <c r="A950" s="4" t="s">
        <v>1901</v>
      </c>
      <c r="B950" s="5" t="s">
        <v>1902</v>
      </c>
      <c r="C950" s="6"/>
      <c r="D950" s="7">
        <v>45427.0</v>
      </c>
      <c r="E950" s="7">
        <v>45813.0</v>
      </c>
      <c r="F950" s="7">
        <v>45813.0</v>
      </c>
    </row>
    <row r="951">
      <c r="A951" s="4" t="s">
        <v>1903</v>
      </c>
      <c r="B951" s="5" t="s">
        <v>1904</v>
      </c>
      <c r="C951" s="6"/>
      <c r="D951" s="7">
        <v>45427.0</v>
      </c>
      <c r="E951" s="7">
        <v>45818.0</v>
      </c>
      <c r="F951" s="7">
        <v>45818.0</v>
      </c>
    </row>
    <row r="952">
      <c r="A952" s="4" t="s">
        <v>1905</v>
      </c>
      <c r="B952" s="5" t="s">
        <v>1906</v>
      </c>
      <c r="C952" s="6"/>
      <c r="D952" s="7">
        <v>45427.0</v>
      </c>
      <c r="E952" s="7">
        <v>45812.0</v>
      </c>
      <c r="F952" s="7">
        <v>45812.0</v>
      </c>
    </row>
    <row r="953">
      <c r="A953" s="4" t="s">
        <v>1907</v>
      </c>
      <c r="B953" s="5" t="s">
        <v>1908</v>
      </c>
      <c r="C953" s="6"/>
      <c r="D953" s="7">
        <v>45427.0</v>
      </c>
      <c r="E953" s="7">
        <v>45813.0</v>
      </c>
      <c r="F953" s="7">
        <v>45813.0</v>
      </c>
    </row>
    <row r="954">
      <c r="A954" s="4" t="s">
        <v>1909</v>
      </c>
      <c r="B954" s="5" t="s">
        <v>1910</v>
      </c>
      <c r="C954" s="6"/>
      <c r="D954" s="7">
        <v>45427.0</v>
      </c>
      <c r="E954" s="7">
        <v>45814.0</v>
      </c>
      <c r="F954" s="7">
        <v>45814.0</v>
      </c>
    </row>
    <row r="955">
      <c r="A955" s="4" t="s">
        <v>1911</v>
      </c>
      <c r="B955" s="5" t="s">
        <v>1912</v>
      </c>
      <c r="C955" s="6"/>
      <c r="D955" s="7">
        <v>45427.0</v>
      </c>
      <c r="E955" s="7">
        <v>45814.0</v>
      </c>
      <c r="F955" s="7">
        <v>45814.0</v>
      </c>
    </row>
    <row r="956">
      <c r="A956" s="4" t="s">
        <v>1913</v>
      </c>
      <c r="B956" s="5" t="s">
        <v>1914</v>
      </c>
      <c r="C956" s="6"/>
      <c r="D956" s="7">
        <v>45427.0</v>
      </c>
      <c r="E956" s="7">
        <v>45813.0</v>
      </c>
      <c r="F956" s="7">
        <v>45813.0</v>
      </c>
    </row>
    <row r="957">
      <c r="A957" s="4" t="s">
        <v>1915</v>
      </c>
      <c r="B957" s="5" t="s">
        <v>1916</v>
      </c>
      <c r="C957" s="6"/>
      <c r="D957" s="7">
        <v>45427.0</v>
      </c>
      <c r="E957" s="7">
        <v>45820.0</v>
      </c>
      <c r="F957" s="7">
        <v>45820.0</v>
      </c>
    </row>
    <row r="958">
      <c r="A958" s="4" t="s">
        <v>1917</v>
      </c>
      <c r="B958" s="5" t="s">
        <v>1918</v>
      </c>
      <c r="C958" s="6"/>
      <c r="D958" s="7">
        <v>45427.0</v>
      </c>
      <c r="E958" s="7">
        <v>45840.0</v>
      </c>
      <c r="F958" s="7">
        <v>45840.0</v>
      </c>
    </row>
    <row r="959">
      <c r="A959" s="4" t="s">
        <v>1919</v>
      </c>
      <c r="B959" s="5" t="s">
        <v>1920</v>
      </c>
      <c r="C959" s="6"/>
      <c r="D959" s="7">
        <v>45427.0</v>
      </c>
      <c r="E959" s="7">
        <v>45817.0</v>
      </c>
      <c r="F959" s="7">
        <v>45817.0</v>
      </c>
    </row>
    <row r="960">
      <c r="A960" s="4" t="s">
        <v>1921</v>
      </c>
      <c r="B960" s="5" t="s">
        <v>1922</v>
      </c>
      <c r="C960" s="6"/>
      <c r="D960" s="7">
        <v>45427.0</v>
      </c>
      <c r="E960" s="7">
        <v>45812.0</v>
      </c>
      <c r="F960" s="7">
        <v>45812.0</v>
      </c>
    </row>
    <row r="961">
      <c r="A961" s="4" t="s">
        <v>1923</v>
      </c>
      <c r="B961" s="5" t="s">
        <v>1924</v>
      </c>
      <c r="C961" s="6"/>
      <c r="D961" s="7">
        <v>45427.0</v>
      </c>
      <c r="E961" s="7">
        <v>45831.0</v>
      </c>
      <c r="F961" s="7">
        <v>45831.0</v>
      </c>
    </row>
    <row r="962">
      <c r="A962" s="4" t="s">
        <v>1925</v>
      </c>
      <c r="B962" s="5" t="s">
        <v>1926</v>
      </c>
      <c r="C962" s="6"/>
      <c r="D962" s="7">
        <v>45427.0</v>
      </c>
      <c r="E962" s="7">
        <v>45813.0</v>
      </c>
      <c r="F962" s="7">
        <v>45813.0</v>
      </c>
    </row>
    <row r="963">
      <c r="A963" s="4" t="s">
        <v>1927</v>
      </c>
      <c r="B963" s="5" t="s">
        <v>1928</v>
      </c>
      <c r="C963" s="6"/>
      <c r="D963" s="7">
        <v>45427.0</v>
      </c>
      <c r="E963" s="7">
        <v>45813.0</v>
      </c>
      <c r="F963" s="7">
        <v>45813.0</v>
      </c>
    </row>
    <row r="964">
      <c r="A964" s="4" t="s">
        <v>1929</v>
      </c>
      <c r="B964" s="5" t="s">
        <v>1930</v>
      </c>
      <c r="C964" s="6"/>
      <c r="D964" s="7">
        <v>45427.0</v>
      </c>
      <c r="E964" s="7">
        <v>45812.0</v>
      </c>
      <c r="F964" s="7">
        <v>45812.0</v>
      </c>
    </row>
    <row r="965">
      <c r="A965" s="4" t="s">
        <v>1931</v>
      </c>
      <c r="B965" s="5" t="s">
        <v>1932</v>
      </c>
      <c r="C965" s="6"/>
      <c r="D965" s="7">
        <v>45427.0</v>
      </c>
      <c r="E965" s="7">
        <v>45812.0</v>
      </c>
      <c r="F965" s="7">
        <v>45812.0</v>
      </c>
    </row>
    <row r="966">
      <c r="A966" s="4" t="s">
        <v>1933</v>
      </c>
      <c r="B966" s="5" t="s">
        <v>1934</v>
      </c>
      <c r="C966" s="6"/>
      <c r="D966" s="7">
        <v>45427.0</v>
      </c>
      <c r="E966" s="7">
        <v>45811.0</v>
      </c>
      <c r="F966" s="7">
        <v>45811.0</v>
      </c>
    </row>
    <row r="967">
      <c r="A967" s="4" t="s">
        <v>1935</v>
      </c>
      <c r="B967" s="5" t="s">
        <v>1936</v>
      </c>
      <c r="C967" s="6"/>
      <c r="D967" s="7">
        <v>45427.0</v>
      </c>
      <c r="E967" s="7">
        <v>45820.0</v>
      </c>
      <c r="F967" s="7">
        <v>45820.0</v>
      </c>
    </row>
    <row r="968">
      <c r="A968" s="4" t="s">
        <v>1937</v>
      </c>
      <c r="B968" s="5" t="s">
        <v>1938</v>
      </c>
      <c r="C968" s="6"/>
      <c r="D968" s="7">
        <v>45427.0</v>
      </c>
      <c r="E968" s="7">
        <v>45799.0</v>
      </c>
      <c r="F968" s="7">
        <v>45799.0</v>
      </c>
    </row>
    <row r="969">
      <c r="A969" s="4" t="s">
        <v>1939</v>
      </c>
      <c r="B969" s="5" t="s">
        <v>1940</v>
      </c>
      <c r="C969" s="6"/>
      <c r="D969" s="7">
        <v>45427.0</v>
      </c>
      <c r="E969" s="7">
        <v>45812.0</v>
      </c>
      <c r="F969" s="7">
        <v>45812.0</v>
      </c>
    </row>
    <row r="970">
      <c r="A970" s="4" t="s">
        <v>1941</v>
      </c>
      <c r="B970" s="5" t="s">
        <v>1942</v>
      </c>
      <c r="C970" s="6"/>
      <c r="D970" s="7">
        <v>45427.0</v>
      </c>
      <c r="E970" s="7">
        <v>45819.0</v>
      </c>
      <c r="F970" s="7">
        <v>45819.0</v>
      </c>
    </row>
    <row r="971">
      <c r="A971" s="4" t="s">
        <v>1943</v>
      </c>
      <c r="B971" s="5" t="s">
        <v>1944</v>
      </c>
      <c r="C971" s="6"/>
      <c r="D971" s="7">
        <v>45427.0</v>
      </c>
      <c r="E971" s="7">
        <v>45812.0</v>
      </c>
      <c r="F971" s="7">
        <v>45812.0</v>
      </c>
    </row>
    <row r="972">
      <c r="A972" s="4" t="s">
        <v>1945</v>
      </c>
      <c r="B972" s="5" t="s">
        <v>1946</v>
      </c>
      <c r="C972" s="6"/>
      <c r="D972" s="7">
        <v>45427.0</v>
      </c>
      <c r="E972" s="7">
        <v>45812.0</v>
      </c>
      <c r="F972" s="7">
        <v>45812.0</v>
      </c>
    </row>
    <row r="973">
      <c r="A973" s="4" t="s">
        <v>1947</v>
      </c>
      <c r="B973" s="5" t="s">
        <v>1948</v>
      </c>
      <c r="C973" s="6"/>
      <c r="D973" s="7">
        <v>45427.0</v>
      </c>
      <c r="E973" s="7">
        <v>45825.0</v>
      </c>
      <c r="F973" s="7">
        <v>45825.0</v>
      </c>
    </row>
    <row r="974">
      <c r="A974" s="4" t="s">
        <v>1949</v>
      </c>
      <c r="B974" s="5" t="s">
        <v>1950</v>
      </c>
      <c r="C974" s="6"/>
      <c r="D974" s="7">
        <v>45427.0</v>
      </c>
      <c r="E974" s="7">
        <v>45812.0</v>
      </c>
      <c r="F974" s="7">
        <v>45812.0</v>
      </c>
    </row>
    <row r="975">
      <c r="A975" s="4" t="s">
        <v>1951</v>
      </c>
      <c r="B975" s="5" t="s">
        <v>1952</v>
      </c>
      <c r="C975" s="6"/>
      <c r="D975" s="7">
        <v>45427.0</v>
      </c>
      <c r="E975" s="7">
        <v>45805.0</v>
      </c>
      <c r="F975" s="7">
        <v>45805.0</v>
      </c>
    </row>
    <row r="976">
      <c r="A976" s="4" t="s">
        <v>1953</v>
      </c>
      <c r="B976" s="5" t="s">
        <v>1954</v>
      </c>
      <c r="C976" s="6"/>
      <c r="D976" s="7">
        <v>45427.0</v>
      </c>
      <c r="E976" s="7">
        <v>45812.0</v>
      </c>
      <c r="F976" s="7">
        <v>45812.0</v>
      </c>
    </row>
    <row r="977">
      <c r="A977" s="4" t="s">
        <v>1955</v>
      </c>
      <c r="B977" s="5" t="s">
        <v>1956</v>
      </c>
      <c r="C977" s="6"/>
      <c r="D977" s="7">
        <v>45427.0</v>
      </c>
      <c r="E977" s="7">
        <v>45819.0</v>
      </c>
      <c r="F977" s="7">
        <v>45819.0</v>
      </c>
    </row>
    <row r="978">
      <c r="A978" s="4" t="s">
        <v>1957</v>
      </c>
      <c r="B978" s="5" t="s">
        <v>1958</v>
      </c>
      <c r="C978" s="6"/>
      <c r="D978" s="7">
        <v>45427.0</v>
      </c>
      <c r="E978" s="7">
        <v>45818.0</v>
      </c>
      <c r="F978" s="7">
        <v>45818.0</v>
      </c>
    </row>
    <row r="979">
      <c r="A979" s="4" t="s">
        <v>1959</v>
      </c>
      <c r="B979" s="5" t="s">
        <v>1960</v>
      </c>
      <c r="C979" s="6"/>
      <c r="D979" s="7">
        <v>45427.0</v>
      </c>
      <c r="E979" s="7">
        <v>45813.0</v>
      </c>
      <c r="F979" s="7">
        <v>45813.0</v>
      </c>
    </row>
    <row r="980">
      <c r="A980" s="4" t="s">
        <v>1961</v>
      </c>
      <c r="B980" s="5" t="s">
        <v>1962</v>
      </c>
      <c r="C980" s="6"/>
      <c r="D980" s="7">
        <v>45427.0</v>
      </c>
      <c r="E980" s="7">
        <v>45811.0</v>
      </c>
      <c r="F980" s="7">
        <v>45811.0</v>
      </c>
    </row>
    <row r="981">
      <c r="A981" s="4" t="s">
        <v>1963</v>
      </c>
      <c r="B981" s="5" t="s">
        <v>1964</v>
      </c>
      <c r="C981" s="6"/>
      <c r="D981" s="7">
        <v>45427.0</v>
      </c>
      <c r="E981" s="7">
        <v>45812.0</v>
      </c>
      <c r="F981" s="7">
        <v>45812.0</v>
      </c>
    </row>
    <row r="982">
      <c r="A982" s="4" t="s">
        <v>1965</v>
      </c>
      <c r="B982" s="5" t="s">
        <v>1966</v>
      </c>
      <c r="C982" s="6"/>
      <c r="D982" s="7">
        <v>45427.0</v>
      </c>
      <c r="E982" s="7">
        <v>45813.0</v>
      </c>
      <c r="F982" s="7">
        <v>45813.0</v>
      </c>
    </row>
    <row r="983">
      <c r="A983" s="4" t="s">
        <v>1967</v>
      </c>
      <c r="B983" s="5" t="s">
        <v>1968</v>
      </c>
      <c r="C983" s="6"/>
      <c r="D983" s="7">
        <v>45427.0</v>
      </c>
      <c r="E983" s="7">
        <v>45812.0</v>
      </c>
      <c r="F983" s="7">
        <v>45812.0</v>
      </c>
    </row>
    <row r="984">
      <c r="A984" s="4" t="s">
        <v>1969</v>
      </c>
      <c r="B984" s="5" t="s">
        <v>1970</v>
      </c>
      <c r="C984" s="6"/>
      <c r="D984" s="7">
        <v>45427.0</v>
      </c>
      <c r="E984" s="7">
        <v>45819.0</v>
      </c>
      <c r="F984" s="7">
        <v>45819.0</v>
      </c>
    </row>
    <row r="985">
      <c r="A985" s="4" t="s">
        <v>1971</v>
      </c>
      <c r="B985" s="5" t="s">
        <v>1972</v>
      </c>
      <c r="C985" s="6"/>
      <c r="D985" s="7">
        <v>45427.0</v>
      </c>
      <c r="E985" s="7">
        <v>45812.0</v>
      </c>
      <c r="F985" s="7">
        <v>45812.0</v>
      </c>
    </row>
    <row r="986">
      <c r="A986" s="4" t="s">
        <v>1973</v>
      </c>
      <c r="B986" s="5" t="s">
        <v>1974</v>
      </c>
      <c r="C986" s="6"/>
      <c r="D986" s="7">
        <v>45427.0</v>
      </c>
      <c r="E986" s="7">
        <v>45813.0</v>
      </c>
      <c r="F986" s="7">
        <v>45813.0</v>
      </c>
    </row>
    <row r="987">
      <c r="A987" s="4" t="s">
        <v>1975</v>
      </c>
      <c r="B987" s="5" t="s">
        <v>1976</v>
      </c>
      <c r="C987" s="6"/>
      <c r="D987" s="7">
        <v>45427.0</v>
      </c>
      <c r="E987" s="7">
        <v>45812.0</v>
      </c>
      <c r="F987" s="7">
        <v>45812.0</v>
      </c>
    </row>
    <row r="988">
      <c r="A988" s="4" t="s">
        <v>1977</v>
      </c>
      <c r="B988" s="5" t="s">
        <v>1978</v>
      </c>
      <c r="C988" s="6"/>
      <c r="D988" s="7">
        <v>45427.0</v>
      </c>
      <c r="E988" s="7">
        <v>45811.0</v>
      </c>
      <c r="F988" s="7">
        <v>45811.0</v>
      </c>
    </row>
    <row r="989">
      <c r="A989" s="4" t="s">
        <v>1979</v>
      </c>
      <c r="B989" s="5" t="s">
        <v>1980</v>
      </c>
      <c r="C989" s="6"/>
      <c r="D989" s="7">
        <v>45427.0</v>
      </c>
      <c r="E989" s="7">
        <v>45812.0</v>
      </c>
      <c r="F989" s="7">
        <v>45812.0</v>
      </c>
    </row>
    <row r="990">
      <c r="A990" s="4" t="s">
        <v>1981</v>
      </c>
      <c r="B990" s="5" t="s">
        <v>1982</v>
      </c>
      <c r="C990" s="6"/>
      <c r="D990" s="7">
        <v>45427.0</v>
      </c>
      <c r="E990" s="7">
        <v>45812.0</v>
      </c>
      <c r="F990" s="7">
        <v>45812.0</v>
      </c>
    </row>
    <row r="991">
      <c r="A991" s="4" t="s">
        <v>1983</v>
      </c>
      <c r="B991" s="5" t="s">
        <v>1984</v>
      </c>
      <c r="C991" s="6"/>
      <c r="D991" s="7">
        <v>45427.0</v>
      </c>
      <c r="E991" s="7">
        <v>45812.0</v>
      </c>
      <c r="F991" s="7">
        <v>45812.0</v>
      </c>
    </row>
    <row r="992">
      <c r="A992" s="4" t="s">
        <v>1985</v>
      </c>
      <c r="B992" s="5" t="s">
        <v>1986</v>
      </c>
      <c r="C992" s="6"/>
      <c r="D992" s="7">
        <v>45427.0</v>
      </c>
      <c r="E992" s="7">
        <v>45826.0</v>
      </c>
      <c r="F992" s="7">
        <v>45826.0</v>
      </c>
    </row>
    <row r="993">
      <c r="A993" s="4" t="s">
        <v>1987</v>
      </c>
      <c r="B993" s="5" t="s">
        <v>1988</v>
      </c>
      <c r="C993" s="6"/>
      <c r="D993" s="7">
        <v>45427.0</v>
      </c>
      <c r="E993" s="7">
        <v>45799.0</v>
      </c>
      <c r="F993" s="7">
        <v>45799.0</v>
      </c>
    </row>
    <row r="994">
      <c r="A994" s="4" t="s">
        <v>1989</v>
      </c>
      <c r="B994" s="5" t="s">
        <v>1990</v>
      </c>
      <c r="C994" s="6"/>
      <c r="D994" s="7">
        <v>45427.0</v>
      </c>
      <c r="E994" s="7">
        <v>45841.0</v>
      </c>
      <c r="F994" s="7">
        <v>45841.0</v>
      </c>
    </row>
    <row r="995">
      <c r="A995" s="4" t="s">
        <v>1991</v>
      </c>
      <c r="B995" s="5" t="s">
        <v>1992</v>
      </c>
      <c r="C995" s="6"/>
      <c r="D995" s="7">
        <v>45427.0</v>
      </c>
      <c r="E995" s="7">
        <v>45813.0</v>
      </c>
      <c r="F995" s="7">
        <v>45813.0</v>
      </c>
    </row>
    <row r="996">
      <c r="A996" s="4" t="s">
        <v>1993</v>
      </c>
      <c r="B996" s="5" t="s">
        <v>1994</v>
      </c>
      <c r="C996" s="6"/>
      <c r="D996" s="7">
        <v>45427.0</v>
      </c>
      <c r="E996" s="7">
        <v>45812.0</v>
      </c>
      <c r="F996" s="7">
        <v>45812.0</v>
      </c>
    </row>
    <row r="997">
      <c r="A997" s="4" t="s">
        <v>1995</v>
      </c>
      <c r="B997" s="5" t="s">
        <v>1996</v>
      </c>
      <c r="C997" s="6"/>
      <c r="D997" s="7">
        <v>45427.0</v>
      </c>
      <c r="E997" s="7">
        <v>45812.0</v>
      </c>
      <c r="F997" s="7">
        <v>45812.0</v>
      </c>
    </row>
    <row r="998">
      <c r="A998" s="4" t="s">
        <v>1997</v>
      </c>
      <c r="B998" s="5" t="s">
        <v>1998</v>
      </c>
      <c r="C998" s="6"/>
      <c r="D998" s="7">
        <v>45427.0</v>
      </c>
      <c r="E998" s="7">
        <v>45812.0</v>
      </c>
      <c r="F998" s="7">
        <v>45812.0</v>
      </c>
    </row>
    <row r="999">
      <c r="A999" s="4" t="s">
        <v>1999</v>
      </c>
      <c r="B999" s="5" t="s">
        <v>2000</v>
      </c>
      <c r="C999" s="6"/>
      <c r="D999" s="7">
        <v>45427.0</v>
      </c>
      <c r="E999" s="7">
        <v>45825.0</v>
      </c>
      <c r="F999" s="7">
        <v>45825.0</v>
      </c>
    </row>
    <row r="1000">
      <c r="A1000" s="4" t="s">
        <v>2001</v>
      </c>
      <c r="B1000" s="5" t="s">
        <v>2002</v>
      </c>
      <c r="C1000" s="6"/>
      <c r="D1000" s="7">
        <v>45427.0</v>
      </c>
      <c r="E1000" s="7">
        <v>45817.0</v>
      </c>
      <c r="F1000" s="7">
        <v>45817.0</v>
      </c>
    </row>
    <row r="1001">
      <c r="A1001" s="4" t="s">
        <v>2003</v>
      </c>
      <c r="B1001" s="5" t="s">
        <v>2004</v>
      </c>
      <c r="C1001" s="6"/>
      <c r="D1001" s="7">
        <v>45427.0</v>
      </c>
      <c r="E1001" s="7">
        <v>45813.0</v>
      </c>
      <c r="F1001" s="7">
        <v>45813.0</v>
      </c>
    </row>
    <row r="1002">
      <c r="A1002" s="4" t="s">
        <v>2005</v>
      </c>
      <c r="B1002" s="5" t="s">
        <v>2006</v>
      </c>
      <c r="C1002" s="6"/>
      <c r="D1002" s="7">
        <v>45427.0</v>
      </c>
      <c r="E1002" s="7">
        <v>45812.0</v>
      </c>
      <c r="F1002" s="7">
        <v>45812.0</v>
      </c>
    </row>
    <row r="1003">
      <c r="A1003" s="4" t="s">
        <v>2007</v>
      </c>
      <c r="B1003" s="5" t="s">
        <v>2008</v>
      </c>
      <c r="C1003" s="6"/>
      <c r="D1003" s="7">
        <v>45427.0</v>
      </c>
      <c r="E1003" s="7">
        <v>45819.0</v>
      </c>
      <c r="F1003" s="7">
        <v>45819.0</v>
      </c>
    </row>
    <row r="1004">
      <c r="A1004" s="4" t="s">
        <v>2009</v>
      </c>
      <c r="B1004" s="5" t="s">
        <v>2010</v>
      </c>
      <c r="C1004" s="6"/>
      <c r="D1004" s="7">
        <v>45427.0</v>
      </c>
      <c r="E1004" s="7">
        <v>45806.0</v>
      </c>
      <c r="F1004" s="7">
        <v>45806.0</v>
      </c>
    </row>
    <row r="1005">
      <c r="A1005" s="4" t="s">
        <v>2011</v>
      </c>
      <c r="B1005" s="5" t="s">
        <v>2012</v>
      </c>
      <c r="C1005" s="6"/>
      <c r="D1005" s="7">
        <v>45427.0</v>
      </c>
      <c r="E1005" s="7">
        <v>45813.0</v>
      </c>
      <c r="F1005" s="7">
        <v>45813.0</v>
      </c>
    </row>
    <row r="1006">
      <c r="A1006" s="4" t="s">
        <v>2013</v>
      </c>
      <c r="B1006" s="5" t="s">
        <v>2014</v>
      </c>
      <c r="C1006" s="6"/>
      <c r="D1006" s="7">
        <v>45427.0</v>
      </c>
      <c r="E1006" s="7">
        <v>45448.0</v>
      </c>
      <c r="F1006" s="7">
        <v>45448.0</v>
      </c>
    </row>
    <row r="1007">
      <c r="A1007" s="4" t="s">
        <v>2015</v>
      </c>
      <c r="B1007" s="5" t="s">
        <v>2016</v>
      </c>
      <c r="C1007" s="6"/>
      <c r="D1007" s="7">
        <v>45062.0</v>
      </c>
      <c r="E1007" s="7">
        <v>45834.0</v>
      </c>
      <c r="F1007" s="7">
        <v>45834.0</v>
      </c>
    </row>
    <row r="1008">
      <c r="A1008" s="4" t="s">
        <v>2017</v>
      </c>
      <c r="B1008" s="5" t="s">
        <v>2018</v>
      </c>
      <c r="C1008" s="6"/>
      <c r="D1008" s="7">
        <v>45428.0</v>
      </c>
      <c r="E1008" s="7">
        <v>45812.0</v>
      </c>
      <c r="F1008" s="7">
        <v>45812.0</v>
      </c>
    </row>
    <row r="1009">
      <c r="A1009" s="4" t="s">
        <v>2019</v>
      </c>
      <c r="B1009" s="5" t="s">
        <v>2020</v>
      </c>
      <c r="C1009" s="6"/>
      <c r="D1009" s="7">
        <v>45428.0</v>
      </c>
      <c r="E1009" s="7">
        <v>45793.0</v>
      </c>
      <c r="F1009" s="7">
        <v>45793.0</v>
      </c>
    </row>
    <row r="1010">
      <c r="A1010" s="4" t="s">
        <v>2021</v>
      </c>
      <c r="B1010" s="5" t="s">
        <v>2022</v>
      </c>
      <c r="C1010" s="6"/>
      <c r="D1010" s="7">
        <v>45428.0</v>
      </c>
      <c r="E1010" s="7">
        <v>45819.0</v>
      </c>
      <c r="F1010" s="7">
        <v>45819.0</v>
      </c>
    </row>
    <row r="1011">
      <c r="A1011" s="4" t="s">
        <v>2023</v>
      </c>
      <c r="B1011" s="5" t="s">
        <v>2024</v>
      </c>
      <c r="C1011" s="6"/>
      <c r="D1011" s="7">
        <v>45428.0</v>
      </c>
      <c r="E1011" s="7">
        <v>45818.0</v>
      </c>
      <c r="F1011" s="7">
        <v>45818.0</v>
      </c>
    </row>
    <row r="1012">
      <c r="A1012" s="4" t="s">
        <v>2025</v>
      </c>
      <c r="B1012" s="5" t="s">
        <v>2026</v>
      </c>
      <c r="C1012" s="6"/>
      <c r="D1012" s="7">
        <v>45428.0</v>
      </c>
      <c r="E1012" s="7">
        <v>45812.0</v>
      </c>
      <c r="F1012" s="7">
        <v>45812.0</v>
      </c>
    </row>
    <row r="1013">
      <c r="A1013" s="4" t="s">
        <v>2027</v>
      </c>
      <c r="B1013" s="5" t="s">
        <v>2028</v>
      </c>
      <c r="C1013" s="6"/>
      <c r="D1013" s="7">
        <v>45428.0</v>
      </c>
      <c r="E1013" s="7">
        <v>45812.0</v>
      </c>
      <c r="F1013" s="7">
        <v>45812.0</v>
      </c>
    </row>
    <row r="1014">
      <c r="A1014" s="4" t="s">
        <v>2029</v>
      </c>
      <c r="B1014" s="5" t="s">
        <v>2030</v>
      </c>
      <c r="C1014" s="6"/>
      <c r="D1014" s="7">
        <v>45428.0</v>
      </c>
      <c r="E1014" s="7">
        <v>45811.0</v>
      </c>
      <c r="F1014" s="7">
        <v>45811.0</v>
      </c>
    </row>
    <row r="1015">
      <c r="A1015" s="4" t="s">
        <v>2031</v>
      </c>
      <c r="B1015" s="5" t="s">
        <v>2032</v>
      </c>
      <c r="C1015" s="6"/>
      <c r="D1015" s="7">
        <v>45428.0</v>
      </c>
      <c r="E1015" s="7">
        <v>45812.0</v>
      </c>
      <c r="F1015" s="7">
        <v>45812.0</v>
      </c>
    </row>
    <row r="1016">
      <c r="A1016" s="4" t="s">
        <v>2033</v>
      </c>
      <c r="B1016" s="5" t="s">
        <v>2034</v>
      </c>
      <c r="C1016" s="6"/>
      <c r="D1016" s="7">
        <v>45428.0</v>
      </c>
      <c r="E1016" s="7">
        <v>45812.0</v>
      </c>
      <c r="F1016" s="7">
        <v>45812.0</v>
      </c>
    </row>
    <row r="1017">
      <c r="A1017" s="4" t="s">
        <v>2035</v>
      </c>
      <c r="B1017" s="5" t="s">
        <v>2036</v>
      </c>
      <c r="C1017" s="6"/>
      <c r="D1017" s="7">
        <v>45428.0</v>
      </c>
      <c r="E1017" s="7">
        <v>45812.0</v>
      </c>
      <c r="F1017" s="7">
        <v>45812.0</v>
      </c>
    </row>
    <row r="1018">
      <c r="A1018" s="4" t="s">
        <v>2037</v>
      </c>
      <c r="B1018" s="5" t="s">
        <v>2038</v>
      </c>
      <c r="C1018" s="6"/>
      <c r="D1018" s="7">
        <v>45428.0</v>
      </c>
      <c r="E1018" s="7">
        <v>45813.0</v>
      </c>
      <c r="F1018" s="7">
        <v>45813.0</v>
      </c>
    </row>
    <row r="1019">
      <c r="A1019" s="4" t="s">
        <v>2039</v>
      </c>
      <c r="B1019" s="5" t="s">
        <v>2040</v>
      </c>
      <c r="C1019" s="6"/>
      <c r="D1019" s="7">
        <v>45428.0</v>
      </c>
      <c r="E1019" s="7">
        <v>45826.0</v>
      </c>
      <c r="F1019" s="7">
        <v>45826.0</v>
      </c>
    </row>
    <row r="1020">
      <c r="A1020" s="4" t="s">
        <v>2041</v>
      </c>
      <c r="B1020" s="5" t="s">
        <v>2042</v>
      </c>
      <c r="C1020" s="6"/>
      <c r="D1020" s="7">
        <v>45428.0</v>
      </c>
      <c r="E1020" s="7">
        <v>45448.0</v>
      </c>
      <c r="F1020" s="7">
        <v>45448.0</v>
      </c>
    </row>
    <row r="1021">
      <c r="A1021" s="4" t="s">
        <v>2043</v>
      </c>
      <c r="B1021" s="5" t="s">
        <v>2044</v>
      </c>
      <c r="C1021" s="6"/>
      <c r="D1021" s="7">
        <v>45428.0</v>
      </c>
      <c r="E1021" s="7">
        <v>45826.0</v>
      </c>
      <c r="F1021" s="7">
        <v>45826.0</v>
      </c>
    </row>
    <row r="1022">
      <c r="A1022" s="4" t="s">
        <v>2045</v>
      </c>
      <c r="B1022" s="5" t="s">
        <v>2046</v>
      </c>
      <c r="C1022" s="6"/>
      <c r="D1022" s="7">
        <v>45428.0</v>
      </c>
      <c r="E1022" s="7">
        <v>45805.0</v>
      </c>
      <c r="F1022" s="7">
        <v>45805.0</v>
      </c>
    </row>
    <row r="1023">
      <c r="A1023" s="4" t="s">
        <v>2047</v>
      </c>
      <c r="B1023" s="5" t="s">
        <v>2048</v>
      </c>
      <c r="C1023" s="6"/>
      <c r="D1023" s="7">
        <v>45428.0</v>
      </c>
      <c r="E1023" s="7">
        <v>45813.0</v>
      </c>
      <c r="F1023" s="7">
        <v>45813.0</v>
      </c>
    </row>
    <row r="1024">
      <c r="A1024" s="4" t="s">
        <v>2049</v>
      </c>
      <c r="B1024" s="5" t="s">
        <v>2050</v>
      </c>
      <c r="C1024" s="6"/>
      <c r="D1024" s="7">
        <v>45428.0</v>
      </c>
      <c r="E1024" s="7">
        <v>45812.0</v>
      </c>
      <c r="F1024" s="7">
        <v>45812.0</v>
      </c>
    </row>
    <row r="1025">
      <c r="A1025" s="4" t="s">
        <v>2051</v>
      </c>
      <c r="B1025" s="5" t="s">
        <v>2052</v>
      </c>
      <c r="C1025" s="6"/>
      <c r="D1025" s="7">
        <v>45428.0</v>
      </c>
      <c r="E1025" s="7">
        <v>45805.0</v>
      </c>
      <c r="F1025" s="7">
        <v>45805.0</v>
      </c>
    </row>
    <row r="1026">
      <c r="A1026" s="4" t="s">
        <v>2053</v>
      </c>
      <c r="B1026" s="5" t="s">
        <v>2054</v>
      </c>
      <c r="C1026" s="6"/>
      <c r="D1026" s="7">
        <v>45428.0</v>
      </c>
      <c r="E1026" s="7">
        <v>45819.0</v>
      </c>
      <c r="F1026" s="7">
        <v>45819.0</v>
      </c>
    </row>
    <row r="1027">
      <c r="A1027" s="4" t="s">
        <v>2055</v>
      </c>
      <c r="B1027" s="5" t="s">
        <v>2056</v>
      </c>
      <c r="C1027" s="6"/>
      <c r="D1027" s="7">
        <v>45428.0</v>
      </c>
      <c r="E1027" s="7">
        <v>45813.0</v>
      </c>
      <c r="F1027" s="7">
        <v>45813.0</v>
      </c>
    </row>
    <row r="1028">
      <c r="A1028" s="4" t="s">
        <v>2057</v>
      </c>
      <c r="B1028" s="5" t="s">
        <v>2058</v>
      </c>
      <c r="C1028" s="6"/>
      <c r="D1028" s="7">
        <v>45428.0</v>
      </c>
      <c r="E1028" s="7">
        <v>45818.0</v>
      </c>
      <c r="F1028" s="7">
        <v>45818.0</v>
      </c>
    </row>
    <row r="1029">
      <c r="A1029" s="4" t="s">
        <v>2059</v>
      </c>
      <c r="B1029" s="5" t="s">
        <v>2060</v>
      </c>
      <c r="C1029" s="6"/>
      <c r="D1029" s="7">
        <v>45428.0</v>
      </c>
      <c r="E1029" s="7">
        <v>45812.0</v>
      </c>
      <c r="F1029" s="7">
        <v>45812.0</v>
      </c>
    </row>
    <row r="1030">
      <c r="A1030" s="4" t="s">
        <v>2061</v>
      </c>
      <c r="B1030" s="5" t="s">
        <v>2062</v>
      </c>
      <c r="C1030" s="6"/>
      <c r="D1030" s="7">
        <v>45428.0</v>
      </c>
      <c r="E1030" s="7">
        <v>45812.0</v>
      </c>
      <c r="F1030" s="7">
        <v>45812.0</v>
      </c>
    </row>
    <row r="1031">
      <c r="A1031" s="4" t="s">
        <v>2063</v>
      </c>
      <c r="B1031" s="5" t="s">
        <v>2064</v>
      </c>
      <c r="C1031" s="6"/>
      <c r="D1031" s="7">
        <v>45428.0</v>
      </c>
      <c r="E1031" s="7">
        <v>45819.0</v>
      </c>
      <c r="F1031" s="7">
        <v>45819.0</v>
      </c>
    </row>
    <row r="1032">
      <c r="A1032" s="4" t="s">
        <v>2065</v>
      </c>
      <c r="B1032" s="5" t="s">
        <v>2066</v>
      </c>
      <c r="C1032" s="6"/>
      <c r="D1032" s="7">
        <v>45428.0</v>
      </c>
      <c r="E1032" s="7">
        <v>45812.0</v>
      </c>
      <c r="F1032" s="7">
        <v>45812.0</v>
      </c>
    </row>
    <row r="1033">
      <c r="A1033" s="4" t="s">
        <v>2067</v>
      </c>
      <c r="B1033" s="5" t="s">
        <v>2068</v>
      </c>
      <c r="C1033" s="6"/>
      <c r="D1033" s="7">
        <v>45428.0</v>
      </c>
      <c r="E1033" s="7">
        <v>45811.0</v>
      </c>
      <c r="F1033" s="7">
        <v>45811.0</v>
      </c>
    </row>
    <row r="1034">
      <c r="A1034" s="4" t="s">
        <v>2069</v>
      </c>
      <c r="B1034" s="5" t="s">
        <v>2070</v>
      </c>
      <c r="C1034" s="6"/>
      <c r="D1034" s="7">
        <v>45428.0</v>
      </c>
      <c r="E1034" s="7">
        <v>45799.0</v>
      </c>
      <c r="F1034" s="7">
        <v>45799.0</v>
      </c>
    </row>
    <row r="1035">
      <c r="A1035" s="4" t="s">
        <v>2071</v>
      </c>
      <c r="B1035" s="5" t="s">
        <v>2072</v>
      </c>
      <c r="C1035" s="6"/>
      <c r="D1035" s="7">
        <v>45428.0</v>
      </c>
      <c r="E1035" s="7">
        <v>45806.0</v>
      </c>
      <c r="F1035" s="7">
        <v>45806.0</v>
      </c>
    </row>
    <row r="1036">
      <c r="A1036" s="4" t="s">
        <v>2073</v>
      </c>
      <c r="B1036" s="5" t="s">
        <v>2074</v>
      </c>
      <c r="C1036" s="6"/>
      <c r="D1036" s="7">
        <v>45428.0</v>
      </c>
      <c r="E1036" s="7">
        <v>45448.0</v>
      </c>
      <c r="F1036" s="7">
        <v>45448.0</v>
      </c>
    </row>
    <row r="1037">
      <c r="A1037" s="4" t="s">
        <v>2075</v>
      </c>
      <c r="B1037" s="5" t="s">
        <v>2076</v>
      </c>
      <c r="C1037" s="6"/>
      <c r="D1037" s="7">
        <v>45428.0</v>
      </c>
      <c r="E1037" s="7">
        <v>45811.0</v>
      </c>
      <c r="F1037" s="7">
        <v>45811.0</v>
      </c>
    </row>
    <row r="1038">
      <c r="A1038" s="4" t="s">
        <v>2077</v>
      </c>
      <c r="B1038" s="5" t="s">
        <v>2078</v>
      </c>
      <c r="C1038" s="6"/>
      <c r="D1038" s="7">
        <v>45428.0</v>
      </c>
      <c r="E1038" s="7">
        <v>45790.0</v>
      </c>
      <c r="F1038" s="7">
        <v>45790.0</v>
      </c>
    </row>
    <row r="1039">
      <c r="A1039" s="4" t="s">
        <v>2079</v>
      </c>
      <c r="B1039" s="5" t="s">
        <v>2080</v>
      </c>
      <c r="C1039" s="6"/>
      <c r="D1039" s="7">
        <v>45428.0</v>
      </c>
      <c r="E1039" s="7">
        <v>45814.0</v>
      </c>
      <c r="F1039" s="7">
        <v>45814.0</v>
      </c>
    </row>
    <row r="1040">
      <c r="A1040" s="4" t="s">
        <v>2081</v>
      </c>
      <c r="B1040" s="5" t="s">
        <v>2082</v>
      </c>
      <c r="C1040" s="6"/>
      <c r="D1040" s="7">
        <v>45428.0</v>
      </c>
      <c r="E1040" s="7">
        <v>45812.0</v>
      </c>
      <c r="F1040" s="7">
        <v>45812.0</v>
      </c>
    </row>
    <row r="1041">
      <c r="A1041" s="4" t="s">
        <v>2083</v>
      </c>
      <c r="B1041" s="5" t="s">
        <v>2084</v>
      </c>
      <c r="C1041" s="6"/>
      <c r="D1041" s="7">
        <v>45428.0</v>
      </c>
      <c r="E1041" s="7">
        <v>45811.0</v>
      </c>
      <c r="F1041" s="7">
        <v>45811.0</v>
      </c>
    </row>
    <row r="1042">
      <c r="A1042" s="4" t="s">
        <v>2085</v>
      </c>
      <c r="B1042" s="5" t="s">
        <v>2086</v>
      </c>
      <c r="C1042" s="6"/>
      <c r="D1042" s="7">
        <v>45428.0</v>
      </c>
      <c r="E1042" s="7">
        <v>45826.0</v>
      </c>
      <c r="F1042" s="7">
        <v>45826.0</v>
      </c>
    </row>
    <row r="1043">
      <c r="A1043" s="4" t="s">
        <v>2087</v>
      </c>
      <c r="B1043" s="5" t="s">
        <v>2088</v>
      </c>
      <c r="C1043" s="6"/>
      <c r="D1043" s="7">
        <v>45428.0</v>
      </c>
      <c r="E1043" s="7">
        <v>45791.0</v>
      </c>
      <c r="F1043" s="7">
        <v>45791.0</v>
      </c>
    </row>
    <row r="1044">
      <c r="A1044" s="4" t="s">
        <v>2089</v>
      </c>
      <c r="B1044" s="5" t="s">
        <v>2090</v>
      </c>
      <c r="C1044" s="6"/>
      <c r="D1044" s="7">
        <v>45428.0</v>
      </c>
      <c r="E1044" s="7">
        <v>45813.0</v>
      </c>
      <c r="F1044" s="7">
        <v>45813.0</v>
      </c>
    </row>
    <row r="1045">
      <c r="A1045" s="4" t="s">
        <v>2091</v>
      </c>
      <c r="B1045" s="5" t="s">
        <v>2092</v>
      </c>
      <c r="C1045" s="6"/>
      <c r="D1045" s="7">
        <v>45428.0</v>
      </c>
      <c r="E1045" s="7">
        <v>45841.0</v>
      </c>
      <c r="F1045" s="7">
        <v>45841.0</v>
      </c>
    </row>
    <row r="1046">
      <c r="A1046" s="4" t="s">
        <v>2093</v>
      </c>
      <c r="B1046" s="5" t="s">
        <v>2094</v>
      </c>
      <c r="C1046" s="6"/>
      <c r="D1046" s="7">
        <v>45428.0</v>
      </c>
      <c r="E1046" s="7">
        <v>45812.0</v>
      </c>
      <c r="F1046" s="7">
        <v>45812.0</v>
      </c>
    </row>
    <row r="1047">
      <c r="A1047" s="4" t="s">
        <v>2095</v>
      </c>
      <c r="B1047" s="5" t="s">
        <v>2096</v>
      </c>
      <c r="C1047" s="6"/>
      <c r="D1047" s="7">
        <v>45428.0</v>
      </c>
      <c r="E1047" s="7">
        <v>45819.0</v>
      </c>
      <c r="F1047" s="7">
        <v>45819.0</v>
      </c>
    </row>
    <row r="1048">
      <c r="A1048" s="4" t="s">
        <v>2097</v>
      </c>
      <c r="B1048" s="5" t="s">
        <v>2098</v>
      </c>
      <c r="C1048" s="6"/>
      <c r="D1048" s="7">
        <v>45428.0</v>
      </c>
      <c r="E1048" s="7">
        <v>45448.0</v>
      </c>
      <c r="F1048" s="7">
        <v>45448.0</v>
      </c>
    </row>
    <row r="1049">
      <c r="A1049" s="4" t="s">
        <v>2099</v>
      </c>
      <c r="B1049" s="5" t="s">
        <v>2100</v>
      </c>
      <c r="C1049" s="6"/>
      <c r="D1049" s="7">
        <v>45428.0</v>
      </c>
      <c r="E1049" s="7">
        <v>45811.0</v>
      </c>
      <c r="F1049" s="7">
        <v>45811.0</v>
      </c>
    </row>
    <row r="1050">
      <c r="A1050" s="4" t="s">
        <v>2101</v>
      </c>
      <c r="B1050" s="5" t="s">
        <v>2102</v>
      </c>
      <c r="C1050" s="6"/>
      <c r="D1050" s="7">
        <v>45428.0</v>
      </c>
      <c r="E1050" s="7">
        <v>45818.0</v>
      </c>
      <c r="F1050" s="7">
        <v>45818.0</v>
      </c>
    </row>
    <row r="1051">
      <c r="A1051" s="4" t="s">
        <v>2103</v>
      </c>
      <c r="B1051" s="5" t="s">
        <v>2104</v>
      </c>
      <c r="C1051" s="6"/>
      <c r="D1051" s="7">
        <v>45428.0</v>
      </c>
      <c r="E1051" s="7">
        <v>45811.0</v>
      </c>
      <c r="F1051" s="7">
        <v>45811.0</v>
      </c>
    </row>
    <row r="1052">
      <c r="A1052" s="4" t="s">
        <v>2105</v>
      </c>
      <c r="B1052" s="5" t="s">
        <v>2106</v>
      </c>
      <c r="C1052" s="6"/>
      <c r="D1052" s="7">
        <v>45428.0</v>
      </c>
      <c r="E1052" s="7">
        <v>45811.0</v>
      </c>
      <c r="F1052" s="7">
        <v>45811.0</v>
      </c>
    </row>
    <row r="1053">
      <c r="A1053" s="4" t="s">
        <v>2107</v>
      </c>
      <c r="B1053" s="5" t="s">
        <v>2108</v>
      </c>
      <c r="C1053" s="6"/>
      <c r="D1053" s="7">
        <v>45428.0</v>
      </c>
      <c r="E1053" s="7">
        <v>45813.0</v>
      </c>
      <c r="F1053" s="7">
        <v>45813.0</v>
      </c>
    </row>
    <row r="1054">
      <c r="A1054" s="4" t="s">
        <v>2109</v>
      </c>
      <c r="B1054" s="5" t="s">
        <v>2110</v>
      </c>
      <c r="C1054" s="6"/>
      <c r="D1054" s="7">
        <v>45428.0</v>
      </c>
      <c r="E1054" s="7">
        <v>45814.0</v>
      </c>
      <c r="F1054" s="7">
        <v>45814.0</v>
      </c>
    </row>
    <row r="1055">
      <c r="A1055" s="4" t="s">
        <v>2111</v>
      </c>
      <c r="B1055" s="5" t="s">
        <v>2112</v>
      </c>
      <c r="C1055" s="6"/>
      <c r="D1055" s="7">
        <v>45428.0</v>
      </c>
      <c r="E1055" s="7">
        <v>45811.0</v>
      </c>
      <c r="F1055" s="7">
        <v>45811.0</v>
      </c>
    </row>
    <row r="1056">
      <c r="A1056" s="4" t="s">
        <v>2113</v>
      </c>
      <c r="B1056" s="5" t="s">
        <v>2114</v>
      </c>
      <c r="C1056" s="6"/>
      <c r="D1056" s="7">
        <v>45428.0</v>
      </c>
      <c r="E1056" s="7">
        <v>45804.0</v>
      </c>
      <c r="F1056" s="7">
        <v>45804.0</v>
      </c>
    </row>
    <row r="1057">
      <c r="A1057" s="4" t="s">
        <v>2115</v>
      </c>
      <c r="B1057" s="5" t="s">
        <v>2116</v>
      </c>
      <c r="C1057" s="6"/>
      <c r="D1057" s="7">
        <v>45428.0</v>
      </c>
      <c r="E1057" s="7">
        <v>45805.0</v>
      </c>
      <c r="F1057" s="7">
        <v>45805.0</v>
      </c>
    </row>
    <row r="1058">
      <c r="A1058" s="4" t="s">
        <v>2117</v>
      </c>
      <c r="B1058" s="5" t="s">
        <v>2118</v>
      </c>
      <c r="C1058" s="6"/>
      <c r="D1058" s="7">
        <v>45428.0</v>
      </c>
      <c r="E1058" s="7">
        <v>45818.0</v>
      </c>
      <c r="F1058" s="7">
        <v>45818.0</v>
      </c>
    </row>
    <row r="1059">
      <c r="A1059" s="4" t="s">
        <v>2119</v>
      </c>
      <c r="B1059" s="5" t="s">
        <v>2120</v>
      </c>
      <c r="C1059" s="6"/>
      <c r="D1059" s="7">
        <v>45428.0</v>
      </c>
      <c r="E1059" s="7">
        <v>45840.0</v>
      </c>
      <c r="F1059" s="7">
        <v>45840.0</v>
      </c>
    </row>
    <row r="1060">
      <c r="A1060" s="4" t="s">
        <v>2121</v>
      </c>
      <c r="B1060" s="5" t="s">
        <v>2122</v>
      </c>
      <c r="C1060" s="6"/>
      <c r="D1060" s="7">
        <v>45428.0</v>
      </c>
      <c r="E1060" s="7">
        <v>45811.0</v>
      </c>
      <c r="F1060" s="7">
        <v>45811.0</v>
      </c>
    </row>
    <row r="1061">
      <c r="A1061" s="4" t="s">
        <v>2123</v>
      </c>
      <c r="B1061" s="5" t="s">
        <v>2124</v>
      </c>
      <c r="C1061" s="6"/>
      <c r="D1061" s="7">
        <v>45428.0</v>
      </c>
      <c r="E1061" s="7">
        <v>45811.0</v>
      </c>
      <c r="F1061" s="7">
        <v>45811.0</v>
      </c>
    </row>
    <row r="1062">
      <c r="A1062" s="4" t="s">
        <v>2125</v>
      </c>
      <c r="B1062" s="5" t="s">
        <v>2126</v>
      </c>
      <c r="C1062" s="6"/>
      <c r="D1062" s="7">
        <v>45428.0</v>
      </c>
      <c r="E1062" s="7">
        <v>45797.0</v>
      </c>
      <c r="F1062" s="7">
        <v>45797.0</v>
      </c>
    </row>
    <row r="1063">
      <c r="A1063" s="4" t="s">
        <v>2127</v>
      </c>
      <c r="B1063" s="5" t="s">
        <v>2128</v>
      </c>
      <c r="C1063" s="6"/>
      <c r="D1063" s="7">
        <v>45428.0</v>
      </c>
      <c r="E1063" s="7">
        <v>45812.0</v>
      </c>
      <c r="F1063" s="7">
        <v>45812.0</v>
      </c>
    </row>
    <row r="1064">
      <c r="A1064" s="4" t="s">
        <v>2129</v>
      </c>
      <c r="B1064" s="5" t="s">
        <v>2130</v>
      </c>
      <c r="C1064" s="6"/>
      <c r="D1064" s="7">
        <v>45428.0</v>
      </c>
      <c r="E1064" s="7">
        <v>45807.0</v>
      </c>
      <c r="F1064" s="7">
        <v>45807.0</v>
      </c>
    </row>
    <row r="1065">
      <c r="A1065" s="4" t="s">
        <v>2131</v>
      </c>
      <c r="B1065" s="5" t="s">
        <v>2132</v>
      </c>
      <c r="C1065" s="6"/>
      <c r="D1065" s="7">
        <v>45428.0</v>
      </c>
      <c r="E1065" s="7">
        <v>45790.0</v>
      </c>
      <c r="F1065" s="7">
        <v>45790.0</v>
      </c>
    </row>
    <row r="1066">
      <c r="A1066" s="4" t="s">
        <v>2133</v>
      </c>
      <c r="B1066" s="5" t="s">
        <v>2134</v>
      </c>
      <c r="C1066" s="6"/>
      <c r="D1066" s="7">
        <v>45428.0</v>
      </c>
      <c r="E1066" s="7">
        <v>45818.0</v>
      </c>
      <c r="F1066" s="7">
        <v>45818.0</v>
      </c>
    </row>
    <row r="1067">
      <c r="A1067" s="4" t="s">
        <v>2135</v>
      </c>
      <c r="B1067" s="5" t="s">
        <v>2136</v>
      </c>
      <c r="C1067" s="6"/>
      <c r="D1067" s="7">
        <v>45428.0</v>
      </c>
      <c r="E1067" s="7">
        <v>45792.0</v>
      </c>
      <c r="F1067" s="7">
        <v>45792.0</v>
      </c>
    </row>
    <row r="1068">
      <c r="A1068" s="4" t="s">
        <v>2137</v>
      </c>
      <c r="B1068" s="5" t="s">
        <v>2138</v>
      </c>
      <c r="C1068" s="6"/>
      <c r="D1068" s="7">
        <v>45428.0</v>
      </c>
      <c r="E1068" s="7">
        <v>45818.0</v>
      </c>
      <c r="F1068" s="7">
        <v>45818.0</v>
      </c>
    </row>
    <row r="1069">
      <c r="A1069" s="4" t="s">
        <v>2139</v>
      </c>
      <c r="B1069" s="5" t="s">
        <v>2140</v>
      </c>
      <c r="C1069" s="6"/>
      <c r="D1069" s="7">
        <v>45428.0</v>
      </c>
      <c r="E1069" s="7">
        <v>45813.0</v>
      </c>
      <c r="F1069" s="7">
        <v>45813.0</v>
      </c>
    </row>
    <row r="1070">
      <c r="A1070" s="4" t="s">
        <v>2141</v>
      </c>
      <c r="B1070" s="5" t="s">
        <v>2142</v>
      </c>
      <c r="C1070" s="6"/>
      <c r="D1070" s="7">
        <v>45428.0</v>
      </c>
      <c r="E1070" s="7">
        <v>45825.0</v>
      </c>
      <c r="F1070" s="7">
        <v>45825.0</v>
      </c>
    </row>
    <row r="1071">
      <c r="A1071" s="4" t="s">
        <v>2143</v>
      </c>
      <c r="B1071" s="5" t="s">
        <v>2144</v>
      </c>
      <c r="C1071" s="6"/>
      <c r="D1071" s="7">
        <v>45428.0</v>
      </c>
      <c r="E1071" s="7">
        <v>45811.0</v>
      </c>
      <c r="F1071" s="7">
        <v>45811.0</v>
      </c>
    </row>
    <row r="1072">
      <c r="A1072" s="4" t="s">
        <v>2145</v>
      </c>
      <c r="B1072" s="5" t="s">
        <v>2146</v>
      </c>
      <c r="C1072" s="6"/>
      <c r="D1072" s="7">
        <v>45428.0</v>
      </c>
      <c r="E1072" s="7">
        <v>45811.0</v>
      </c>
      <c r="F1072" s="7">
        <v>45811.0</v>
      </c>
    </row>
    <row r="1073">
      <c r="A1073" s="4" t="s">
        <v>2147</v>
      </c>
      <c r="B1073" s="5" t="s">
        <v>2148</v>
      </c>
      <c r="C1073" s="6"/>
      <c r="D1073" s="7">
        <v>45428.0</v>
      </c>
      <c r="E1073" s="7">
        <v>45811.0</v>
      </c>
      <c r="F1073" s="7">
        <v>45811.0</v>
      </c>
    </row>
    <row r="1074">
      <c r="A1074" s="4" t="s">
        <v>2149</v>
      </c>
      <c r="B1074" s="5" t="s">
        <v>2150</v>
      </c>
      <c r="C1074" s="6"/>
      <c r="D1074" s="7">
        <v>45428.0</v>
      </c>
      <c r="E1074" s="7">
        <v>45798.0</v>
      </c>
      <c r="F1074" s="7">
        <v>45798.0</v>
      </c>
    </row>
    <row r="1075">
      <c r="A1075" s="4" t="s">
        <v>2151</v>
      </c>
      <c r="B1075" s="5" t="s">
        <v>2152</v>
      </c>
      <c r="C1075" s="6"/>
      <c r="D1075" s="7">
        <v>45428.0</v>
      </c>
      <c r="E1075" s="7">
        <v>45811.0</v>
      </c>
      <c r="F1075" s="7">
        <v>45811.0</v>
      </c>
    </row>
    <row r="1076">
      <c r="A1076" s="4" t="s">
        <v>2153</v>
      </c>
      <c r="B1076" s="5" t="s">
        <v>2154</v>
      </c>
      <c r="C1076" s="6"/>
      <c r="D1076" s="7">
        <v>45428.0</v>
      </c>
      <c r="E1076" s="7">
        <v>45826.0</v>
      </c>
      <c r="F1076" s="7">
        <v>45826.0</v>
      </c>
    </row>
    <row r="1077">
      <c r="A1077" s="4" t="s">
        <v>2155</v>
      </c>
      <c r="B1077" s="5" t="s">
        <v>2156</v>
      </c>
      <c r="C1077" s="6"/>
      <c r="D1077" s="7">
        <v>45428.0</v>
      </c>
      <c r="E1077" s="7">
        <v>45812.0</v>
      </c>
      <c r="F1077" s="7">
        <v>45812.0</v>
      </c>
    </row>
    <row r="1078">
      <c r="A1078" s="4" t="s">
        <v>2157</v>
      </c>
      <c r="B1078" s="5" t="s">
        <v>2158</v>
      </c>
      <c r="C1078" s="6"/>
      <c r="D1078" s="7">
        <v>45428.0</v>
      </c>
      <c r="E1078" s="7">
        <v>45811.0</v>
      </c>
      <c r="F1078" s="7">
        <v>45811.0</v>
      </c>
    </row>
    <row r="1079">
      <c r="A1079" s="4" t="s">
        <v>2159</v>
      </c>
      <c r="B1079" s="5" t="s">
        <v>2160</v>
      </c>
      <c r="C1079" s="6"/>
      <c r="D1079" s="7">
        <v>45428.0</v>
      </c>
      <c r="E1079" s="7">
        <v>45812.0</v>
      </c>
      <c r="F1079" s="7">
        <v>45812.0</v>
      </c>
    </row>
    <row r="1080">
      <c r="A1080" s="4" t="s">
        <v>2161</v>
      </c>
      <c r="B1080" s="5" t="s">
        <v>2162</v>
      </c>
      <c r="C1080" s="6"/>
      <c r="D1080" s="7">
        <v>45428.0</v>
      </c>
      <c r="E1080" s="7">
        <v>45811.0</v>
      </c>
      <c r="F1080" s="7">
        <v>45811.0</v>
      </c>
    </row>
    <row r="1081">
      <c r="A1081" s="4" t="s">
        <v>2163</v>
      </c>
      <c r="B1081" s="5" t="s">
        <v>2164</v>
      </c>
      <c r="C1081" s="6"/>
      <c r="D1081" s="7">
        <v>45428.0</v>
      </c>
      <c r="E1081" s="7">
        <v>45826.0</v>
      </c>
      <c r="F1081" s="7">
        <v>45826.0</v>
      </c>
    </row>
    <row r="1082">
      <c r="A1082" s="4" t="s">
        <v>2165</v>
      </c>
      <c r="B1082" s="5" t="s">
        <v>2166</v>
      </c>
      <c r="C1082" s="6"/>
      <c r="D1082" s="7">
        <v>45428.0</v>
      </c>
      <c r="E1082" s="7">
        <v>45812.0</v>
      </c>
      <c r="F1082" s="7">
        <v>45812.0</v>
      </c>
    </row>
    <row r="1083">
      <c r="A1083" s="4" t="s">
        <v>2167</v>
      </c>
      <c r="B1083" s="5" t="s">
        <v>2168</v>
      </c>
      <c r="C1083" s="6"/>
      <c r="D1083" s="7">
        <v>45428.0</v>
      </c>
      <c r="E1083" s="7">
        <v>45813.0</v>
      </c>
      <c r="F1083" s="7">
        <v>45813.0</v>
      </c>
    </row>
    <row r="1084">
      <c r="A1084" s="4" t="s">
        <v>2169</v>
      </c>
      <c r="B1084" s="5" t="s">
        <v>2170</v>
      </c>
      <c r="C1084" s="6"/>
      <c r="D1084" s="7">
        <v>45428.0</v>
      </c>
      <c r="E1084" s="7">
        <v>45811.0</v>
      </c>
      <c r="F1084" s="7">
        <v>45811.0</v>
      </c>
    </row>
    <row r="1085">
      <c r="A1085" s="4" t="s">
        <v>2171</v>
      </c>
      <c r="B1085" s="5" t="s">
        <v>2172</v>
      </c>
      <c r="C1085" s="6"/>
      <c r="D1085" s="7">
        <v>45428.0</v>
      </c>
      <c r="E1085" s="7">
        <v>45820.0</v>
      </c>
      <c r="F1085" s="7">
        <v>45820.0</v>
      </c>
    </row>
    <row r="1086">
      <c r="A1086" s="4" t="s">
        <v>2173</v>
      </c>
      <c r="B1086" s="5" t="s">
        <v>2174</v>
      </c>
      <c r="C1086" s="6"/>
      <c r="D1086" s="7">
        <v>45428.0</v>
      </c>
      <c r="E1086" s="7">
        <v>45810.0</v>
      </c>
      <c r="F1086" s="7">
        <v>45810.0</v>
      </c>
    </row>
    <row r="1087">
      <c r="A1087" s="4" t="s">
        <v>2175</v>
      </c>
      <c r="B1087" s="5" t="s">
        <v>2176</v>
      </c>
      <c r="C1087" s="6"/>
      <c r="D1087" s="7">
        <v>45428.0</v>
      </c>
      <c r="E1087" s="7">
        <v>45811.0</v>
      </c>
      <c r="F1087" s="7">
        <v>45811.0</v>
      </c>
    </row>
    <row r="1088">
      <c r="A1088" s="4" t="s">
        <v>2177</v>
      </c>
      <c r="B1088" s="5" t="s">
        <v>2178</v>
      </c>
      <c r="C1088" s="6"/>
      <c r="D1088" s="7">
        <v>45428.0</v>
      </c>
      <c r="E1088" s="7">
        <v>45820.0</v>
      </c>
      <c r="F1088" s="7">
        <v>45820.0</v>
      </c>
    </row>
    <row r="1089">
      <c r="A1089" s="4" t="s">
        <v>2179</v>
      </c>
      <c r="B1089" s="5" t="s">
        <v>2180</v>
      </c>
      <c r="C1089" s="6"/>
      <c r="D1089" s="7">
        <v>45428.0</v>
      </c>
      <c r="E1089" s="7">
        <v>45805.0</v>
      </c>
      <c r="F1089" s="7">
        <v>45805.0</v>
      </c>
    </row>
    <row r="1090">
      <c r="A1090" s="4" t="s">
        <v>2181</v>
      </c>
      <c r="B1090" s="5" t="s">
        <v>2182</v>
      </c>
      <c r="C1090" s="6"/>
      <c r="D1090" s="7">
        <v>45428.0</v>
      </c>
      <c r="E1090" s="7">
        <v>45812.0</v>
      </c>
      <c r="F1090" s="7">
        <v>45812.0</v>
      </c>
    </row>
    <row r="1091">
      <c r="A1091" s="4" t="s">
        <v>2183</v>
      </c>
      <c r="B1091" s="5" t="s">
        <v>2184</v>
      </c>
      <c r="C1091" s="6"/>
      <c r="D1091" s="7">
        <v>45428.0</v>
      </c>
      <c r="E1091" s="7">
        <v>45840.0</v>
      </c>
      <c r="F1091" s="7">
        <v>45840.0</v>
      </c>
    </row>
    <row r="1092">
      <c r="A1092" s="4" t="s">
        <v>2185</v>
      </c>
      <c r="B1092" s="5" t="s">
        <v>2186</v>
      </c>
      <c r="C1092" s="6"/>
      <c r="D1092" s="7">
        <v>45428.0</v>
      </c>
      <c r="E1092" s="7">
        <v>45818.0</v>
      </c>
      <c r="F1092" s="7">
        <v>45818.0</v>
      </c>
    </row>
    <row r="1093">
      <c r="A1093" s="4" t="s">
        <v>2187</v>
      </c>
      <c r="B1093" s="5" t="s">
        <v>2188</v>
      </c>
      <c r="C1093" s="6"/>
      <c r="D1093" s="7">
        <v>45428.0</v>
      </c>
      <c r="E1093" s="7">
        <v>45825.0</v>
      </c>
      <c r="F1093" s="7">
        <v>45825.0</v>
      </c>
    </row>
    <row r="1094">
      <c r="A1094" s="4" t="s">
        <v>2189</v>
      </c>
      <c r="B1094" s="5" t="s">
        <v>2190</v>
      </c>
      <c r="C1094" s="6"/>
      <c r="D1094" s="7">
        <v>45428.0</v>
      </c>
      <c r="E1094" s="7">
        <v>45811.0</v>
      </c>
      <c r="F1094" s="7">
        <v>45811.0</v>
      </c>
    </row>
    <row r="1095">
      <c r="A1095" s="4" t="s">
        <v>2191</v>
      </c>
      <c r="B1095" s="5" t="s">
        <v>2192</v>
      </c>
      <c r="C1095" s="6"/>
      <c r="D1095" s="7">
        <v>45428.0</v>
      </c>
      <c r="E1095" s="7">
        <v>45860.0</v>
      </c>
      <c r="F1095" s="7">
        <v>45860.0</v>
      </c>
    </row>
    <row r="1096">
      <c r="A1096" s="4" t="s">
        <v>2193</v>
      </c>
      <c r="B1096" s="5" t="s">
        <v>2194</v>
      </c>
      <c r="C1096" s="6"/>
      <c r="D1096" s="7">
        <v>45428.0</v>
      </c>
      <c r="E1096" s="7">
        <v>45813.0</v>
      </c>
      <c r="F1096" s="7">
        <v>45813.0</v>
      </c>
    </row>
    <row r="1097">
      <c r="A1097" s="4" t="s">
        <v>2195</v>
      </c>
      <c r="B1097" s="5" t="s">
        <v>2196</v>
      </c>
      <c r="C1097" s="6"/>
      <c r="D1097" s="7">
        <v>45428.0</v>
      </c>
      <c r="E1097" s="7">
        <v>45810.0</v>
      </c>
      <c r="F1097" s="7">
        <v>45810.0</v>
      </c>
    </row>
    <row r="1098">
      <c r="A1098" s="4" t="s">
        <v>2197</v>
      </c>
      <c r="B1098" s="5" t="s">
        <v>2198</v>
      </c>
      <c r="C1098" s="6"/>
      <c r="D1098" s="7">
        <v>45428.0</v>
      </c>
      <c r="E1098" s="7">
        <v>45810.0</v>
      </c>
      <c r="F1098" s="7">
        <v>45810.0</v>
      </c>
    </row>
    <row r="1099">
      <c r="A1099" s="4" t="s">
        <v>2199</v>
      </c>
      <c r="B1099" s="5" t="s">
        <v>2200</v>
      </c>
      <c r="C1099" s="6"/>
      <c r="D1099" s="7">
        <v>45428.0</v>
      </c>
      <c r="E1099" s="7">
        <v>45810.0</v>
      </c>
      <c r="F1099" s="7">
        <v>45810.0</v>
      </c>
    </row>
    <row r="1100">
      <c r="A1100" s="4" t="s">
        <v>2201</v>
      </c>
      <c r="B1100" s="5" t="s">
        <v>2202</v>
      </c>
      <c r="C1100" s="6"/>
      <c r="D1100" s="7">
        <v>45428.0</v>
      </c>
      <c r="E1100" s="7">
        <v>45810.0</v>
      </c>
      <c r="F1100" s="7">
        <v>45810.0</v>
      </c>
    </row>
    <row r="1101">
      <c r="A1101" s="4" t="s">
        <v>2203</v>
      </c>
      <c r="B1101" s="5" t="s">
        <v>2204</v>
      </c>
      <c r="C1101" s="6"/>
      <c r="D1101" s="7">
        <v>45428.0</v>
      </c>
      <c r="E1101" s="7">
        <v>45813.0</v>
      </c>
      <c r="F1101" s="7">
        <v>45813.0</v>
      </c>
    </row>
    <row r="1102">
      <c r="A1102" s="4" t="s">
        <v>2205</v>
      </c>
      <c r="B1102" s="5" t="s">
        <v>2206</v>
      </c>
      <c r="C1102" s="6"/>
      <c r="D1102" s="7">
        <v>45063.0</v>
      </c>
      <c r="E1102" s="7">
        <v>45811.0</v>
      </c>
      <c r="F1102" s="7">
        <v>45811.0</v>
      </c>
    </row>
    <row r="1103">
      <c r="A1103" s="4" t="s">
        <v>2207</v>
      </c>
      <c r="B1103" s="5" t="s">
        <v>2208</v>
      </c>
      <c r="C1103" s="6"/>
      <c r="D1103" s="7">
        <v>45429.0</v>
      </c>
      <c r="E1103" s="7">
        <v>45793.0</v>
      </c>
      <c r="F1103" s="7">
        <v>45793.0</v>
      </c>
    </row>
    <row r="1104">
      <c r="A1104" s="4" t="s">
        <v>2209</v>
      </c>
      <c r="B1104" s="5" t="s">
        <v>2210</v>
      </c>
      <c r="C1104" s="6"/>
      <c r="D1104" s="7">
        <v>45429.0</v>
      </c>
      <c r="E1104" s="7">
        <v>45810.0</v>
      </c>
      <c r="F1104" s="7">
        <v>45810.0</v>
      </c>
    </row>
    <row r="1105">
      <c r="A1105" s="4" t="s">
        <v>2211</v>
      </c>
      <c r="B1105" s="5" t="s">
        <v>2212</v>
      </c>
      <c r="C1105" s="6"/>
      <c r="D1105" s="7">
        <v>45429.0</v>
      </c>
      <c r="E1105" s="7">
        <v>45810.0</v>
      </c>
      <c r="F1105" s="7">
        <v>45810.0</v>
      </c>
    </row>
    <row r="1106">
      <c r="A1106" s="4" t="s">
        <v>2213</v>
      </c>
      <c r="B1106" s="5" t="s">
        <v>2214</v>
      </c>
      <c r="C1106" s="6"/>
      <c r="D1106" s="7">
        <v>45429.0</v>
      </c>
      <c r="E1106" s="7">
        <v>45811.0</v>
      </c>
      <c r="F1106" s="7">
        <v>45811.0</v>
      </c>
    </row>
    <row r="1107">
      <c r="A1107" s="4" t="s">
        <v>2215</v>
      </c>
      <c r="B1107" s="5" t="s">
        <v>2216</v>
      </c>
      <c r="C1107" s="6"/>
      <c r="D1107" s="7">
        <v>45429.0</v>
      </c>
      <c r="E1107" s="7">
        <v>45826.0</v>
      </c>
      <c r="F1107" s="7">
        <v>45826.0</v>
      </c>
    </row>
    <row r="1108">
      <c r="A1108" s="4" t="s">
        <v>2217</v>
      </c>
      <c r="B1108" s="5" t="s">
        <v>2218</v>
      </c>
      <c r="C1108" s="6"/>
      <c r="D1108" s="7">
        <v>45429.0</v>
      </c>
      <c r="E1108" s="7">
        <v>45810.0</v>
      </c>
      <c r="F1108" s="7">
        <v>45810.0</v>
      </c>
    </row>
    <row r="1109">
      <c r="A1109" s="4" t="s">
        <v>2219</v>
      </c>
      <c r="B1109" s="5" t="s">
        <v>2220</v>
      </c>
      <c r="C1109" s="6"/>
      <c r="D1109" s="7">
        <v>45429.0</v>
      </c>
      <c r="E1109" s="7">
        <v>45810.0</v>
      </c>
      <c r="F1109" s="7">
        <v>45810.0</v>
      </c>
    </row>
    <row r="1110">
      <c r="A1110" s="4" t="s">
        <v>2221</v>
      </c>
      <c r="B1110" s="5" t="s">
        <v>2222</v>
      </c>
      <c r="C1110" s="6"/>
      <c r="D1110" s="7">
        <v>45429.0</v>
      </c>
      <c r="E1110" s="7">
        <v>45810.0</v>
      </c>
      <c r="F1110" s="7">
        <v>45810.0</v>
      </c>
    </row>
    <row r="1111">
      <c r="A1111" s="4" t="s">
        <v>2223</v>
      </c>
      <c r="B1111" s="5" t="s">
        <v>2224</v>
      </c>
      <c r="C1111" s="6"/>
      <c r="D1111" s="7">
        <v>45429.0</v>
      </c>
      <c r="E1111" s="7">
        <v>45810.0</v>
      </c>
      <c r="F1111" s="7">
        <v>45810.0</v>
      </c>
    </row>
    <row r="1112">
      <c r="A1112" s="4" t="s">
        <v>2225</v>
      </c>
      <c r="B1112" s="5" t="s">
        <v>2226</v>
      </c>
      <c r="C1112" s="6"/>
      <c r="D1112" s="7">
        <v>45429.0</v>
      </c>
      <c r="E1112" s="7">
        <v>45810.0</v>
      </c>
      <c r="F1112" s="7">
        <v>45810.0</v>
      </c>
    </row>
    <row r="1113">
      <c r="A1113" s="4" t="s">
        <v>2227</v>
      </c>
      <c r="B1113" s="5" t="s">
        <v>2228</v>
      </c>
      <c r="C1113" s="6"/>
      <c r="D1113" s="7">
        <v>45429.0</v>
      </c>
      <c r="E1113" s="7">
        <v>45811.0</v>
      </c>
      <c r="F1113" s="7">
        <v>45811.0</v>
      </c>
    </row>
    <row r="1114">
      <c r="A1114" s="4" t="s">
        <v>2229</v>
      </c>
      <c r="B1114" s="5" t="s">
        <v>2230</v>
      </c>
      <c r="C1114" s="6"/>
      <c r="D1114" s="7">
        <v>45429.0</v>
      </c>
      <c r="E1114" s="7">
        <v>45810.0</v>
      </c>
      <c r="F1114" s="7">
        <v>45810.0</v>
      </c>
    </row>
    <row r="1115">
      <c r="A1115" s="4" t="s">
        <v>2231</v>
      </c>
      <c r="B1115" s="5" t="s">
        <v>2232</v>
      </c>
      <c r="C1115" s="6"/>
      <c r="D1115" s="7">
        <v>45429.0</v>
      </c>
      <c r="E1115" s="7">
        <v>45810.0</v>
      </c>
      <c r="F1115" s="7">
        <v>45810.0</v>
      </c>
    </row>
    <row r="1116">
      <c r="A1116" s="4" t="s">
        <v>2233</v>
      </c>
      <c r="B1116" s="5" t="s">
        <v>2234</v>
      </c>
      <c r="C1116" s="6"/>
      <c r="D1116" s="7">
        <v>45429.0</v>
      </c>
      <c r="E1116" s="7">
        <v>45824.0</v>
      </c>
      <c r="F1116" s="7">
        <v>45824.0</v>
      </c>
    </row>
    <row r="1117">
      <c r="A1117" s="4" t="s">
        <v>2235</v>
      </c>
      <c r="B1117" s="5" t="s">
        <v>2236</v>
      </c>
      <c r="C1117" s="6"/>
      <c r="D1117" s="7">
        <v>45429.0</v>
      </c>
      <c r="E1117" s="7">
        <v>45812.0</v>
      </c>
      <c r="F1117" s="7">
        <v>45812.0</v>
      </c>
    </row>
    <row r="1118">
      <c r="A1118" s="4" t="s">
        <v>2237</v>
      </c>
      <c r="B1118" s="5" t="s">
        <v>2238</v>
      </c>
      <c r="C1118" s="6"/>
      <c r="D1118" s="7">
        <v>45429.0</v>
      </c>
      <c r="E1118" s="7">
        <v>45819.0</v>
      </c>
      <c r="F1118" s="7">
        <v>45819.0</v>
      </c>
    </row>
    <row r="1119">
      <c r="A1119" s="4" t="s">
        <v>2239</v>
      </c>
      <c r="B1119" s="5" t="s">
        <v>2240</v>
      </c>
      <c r="C1119" s="6"/>
      <c r="D1119" s="7">
        <v>45429.0</v>
      </c>
      <c r="E1119" s="7">
        <v>45824.0</v>
      </c>
      <c r="F1119" s="7">
        <v>45824.0</v>
      </c>
    </row>
    <row r="1120">
      <c r="A1120" s="4" t="s">
        <v>2241</v>
      </c>
      <c r="B1120" s="5" t="s">
        <v>2242</v>
      </c>
      <c r="C1120" s="6"/>
      <c r="D1120" s="7">
        <v>45429.0</v>
      </c>
      <c r="E1120" s="7">
        <v>45810.0</v>
      </c>
      <c r="F1120" s="7">
        <v>45810.0</v>
      </c>
    </row>
    <row r="1121">
      <c r="A1121" s="4" t="s">
        <v>2243</v>
      </c>
      <c r="B1121" s="5" t="s">
        <v>2244</v>
      </c>
      <c r="C1121" s="6"/>
      <c r="D1121" s="7">
        <v>45429.0</v>
      </c>
      <c r="E1121" s="7">
        <v>45833.0</v>
      </c>
      <c r="F1121" s="7">
        <v>45833.0</v>
      </c>
    </row>
    <row r="1122">
      <c r="A1122" s="4" t="s">
        <v>2245</v>
      </c>
      <c r="B1122" s="5" t="s">
        <v>2246</v>
      </c>
      <c r="C1122" s="6"/>
      <c r="D1122" s="7">
        <v>45429.0</v>
      </c>
      <c r="E1122" s="7">
        <v>45446.0</v>
      </c>
      <c r="F1122" s="7">
        <v>45446.0</v>
      </c>
    </row>
    <row r="1123">
      <c r="A1123" s="4" t="s">
        <v>2247</v>
      </c>
      <c r="B1123" s="5" t="s">
        <v>2248</v>
      </c>
      <c r="C1123" s="6"/>
      <c r="D1123" s="7">
        <v>45429.0</v>
      </c>
      <c r="E1123" s="7">
        <v>45810.0</v>
      </c>
      <c r="F1123" s="7">
        <v>45810.0</v>
      </c>
    </row>
    <row r="1124">
      <c r="A1124" s="4" t="s">
        <v>2249</v>
      </c>
      <c r="B1124" s="5" t="s">
        <v>2250</v>
      </c>
      <c r="C1124" s="6"/>
      <c r="D1124" s="7">
        <v>45429.0</v>
      </c>
      <c r="E1124" s="7">
        <v>45818.0</v>
      </c>
      <c r="F1124" s="7">
        <v>45818.0</v>
      </c>
    </row>
    <row r="1125">
      <c r="A1125" s="4" t="s">
        <v>2251</v>
      </c>
      <c r="B1125" s="5" t="s">
        <v>2252</v>
      </c>
      <c r="C1125" s="6"/>
      <c r="D1125" s="7">
        <v>45429.0</v>
      </c>
      <c r="E1125" s="7">
        <v>45814.0</v>
      </c>
      <c r="F1125" s="7">
        <v>45814.0</v>
      </c>
    </row>
    <row r="1126">
      <c r="A1126" s="4" t="s">
        <v>2253</v>
      </c>
      <c r="B1126" s="5" t="s">
        <v>2254</v>
      </c>
      <c r="C1126" s="6"/>
      <c r="D1126" s="7">
        <v>45429.0</v>
      </c>
      <c r="E1126" s="7">
        <v>45810.0</v>
      </c>
      <c r="F1126" s="7">
        <v>45810.0</v>
      </c>
    </row>
    <row r="1127">
      <c r="A1127" s="4" t="s">
        <v>2255</v>
      </c>
      <c r="B1127" s="5" t="s">
        <v>2256</v>
      </c>
      <c r="C1127" s="6"/>
      <c r="D1127" s="7">
        <v>45429.0</v>
      </c>
      <c r="E1127" s="7">
        <v>45817.0</v>
      </c>
      <c r="F1127" s="7">
        <v>45817.0</v>
      </c>
    </row>
    <row r="1128">
      <c r="A1128" s="4" t="s">
        <v>2257</v>
      </c>
      <c r="B1128" s="5" t="s">
        <v>2258</v>
      </c>
      <c r="C1128" s="6"/>
      <c r="D1128" s="7">
        <v>45064.0</v>
      </c>
      <c r="E1128" s="7">
        <v>45807.0</v>
      </c>
      <c r="F1128" s="7">
        <v>45807.0</v>
      </c>
    </row>
    <row r="1129">
      <c r="A1129" s="4" t="s">
        <v>2259</v>
      </c>
      <c r="B1129" s="5" t="s">
        <v>2260</v>
      </c>
      <c r="C1129" s="6"/>
      <c r="D1129" s="7">
        <v>45430.0</v>
      </c>
      <c r="E1129" s="7">
        <v>45800.0</v>
      </c>
      <c r="F1129" s="7">
        <v>45800.0</v>
      </c>
    </row>
    <row r="1130">
      <c r="A1130" s="4" t="s">
        <v>2261</v>
      </c>
      <c r="B1130" s="5" t="s">
        <v>2262</v>
      </c>
      <c r="C1130" s="6"/>
      <c r="D1130" s="7">
        <v>45432.0</v>
      </c>
      <c r="E1130" s="7">
        <v>45799.0</v>
      </c>
      <c r="F1130" s="7">
        <v>45799.0</v>
      </c>
    </row>
    <row r="1131">
      <c r="A1131" s="4" t="s">
        <v>2263</v>
      </c>
      <c r="B1131" s="5" t="s">
        <v>2264</v>
      </c>
      <c r="C1131" s="6"/>
      <c r="D1131" s="7">
        <v>45432.0</v>
      </c>
      <c r="E1131" s="7">
        <v>45798.0</v>
      </c>
      <c r="F1131" s="7">
        <v>45798.0</v>
      </c>
    </row>
    <row r="1132">
      <c r="A1132" s="4" t="s">
        <v>2265</v>
      </c>
      <c r="B1132" s="5" t="s">
        <v>2266</v>
      </c>
      <c r="C1132" s="6"/>
      <c r="D1132" s="7">
        <v>45432.0</v>
      </c>
      <c r="E1132" s="7">
        <v>45811.0</v>
      </c>
      <c r="F1132" s="7">
        <v>45811.0</v>
      </c>
    </row>
    <row r="1133">
      <c r="A1133" s="4" t="s">
        <v>2267</v>
      </c>
      <c r="B1133" s="5" t="s">
        <v>2268</v>
      </c>
      <c r="C1133" s="6"/>
      <c r="D1133" s="7">
        <v>45432.0</v>
      </c>
      <c r="E1133" s="7">
        <v>45832.0</v>
      </c>
      <c r="F1133" s="7">
        <v>45832.0</v>
      </c>
    </row>
    <row r="1134">
      <c r="A1134" s="4" t="s">
        <v>2269</v>
      </c>
      <c r="B1134" s="5" t="s">
        <v>2270</v>
      </c>
      <c r="C1134" s="6"/>
      <c r="D1134" s="7">
        <v>45432.0</v>
      </c>
      <c r="E1134" s="7">
        <v>45778.0</v>
      </c>
      <c r="F1134" s="7">
        <v>45778.0</v>
      </c>
    </row>
    <row r="1135">
      <c r="A1135" s="4" t="s">
        <v>2271</v>
      </c>
      <c r="B1135" s="5" t="s">
        <v>2272</v>
      </c>
      <c r="C1135" s="6"/>
      <c r="D1135" s="7">
        <v>45432.0</v>
      </c>
      <c r="E1135" s="7">
        <v>45807.0</v>
      </c>
      <c r="F1135" s="7">
        <v>45807.0</v>
      </c>
    </row>
    <row r="1136">
      <c r="A1136" s="4" t="s">
        <v>2273</v>
      </c>
      <c r="B1136" s="5" t="s">
        <v>2274</v>
      </c>
      <c r="C1136" s="6"/>
      <c r="D1136" s="7">
        <v>45432.0</v>
      </c>
      <c r="E1136" s="7">
        <v>45806.0</v>
      </c>
      <c r="F1136" s="7">
        <v>45806.0</v>
      </c>
    </row>
    <row r="1137">
      <c r="A1137" s="4" t="s">
        <v>2275</v>
      </c>
      <c r="B1137" s="5" t="s">
        <v>2276</v>
      </c>
      <c r="C1137" s="6"/>
      <c r="D1137" s="7">
        <v>45432.0</v>
      </c>
      <c r="E1137" s="7">
        <v>45807.0</v>
      </c>
      <c r="F1137" s="7">
        <v>45807.0</v>
      </c>
    </row>
    <row r="1138">
      <c r="A1138" s="4" t="s">
        <v>2277</v>
      </c>
      <c r="B1138" s="5" t="s">
        <v>2278</v>
      </c>
      <c r="C1138" s="6"/>
      <c r="D1138" s="7">
        <v>45432.0</v>
      </c>
      <c r="E1138" s="7">
        <v>45828.0</v>
      </c>
      <c r="F1138" s="7">
        <v>45828.0</v>
      </c>
    </row>
    <row r="1139">
      <c r="A1139" s="4" t="s">
        <v>2279</v>
      </c>
      <c r="B1139" s="5" t="s">
        <v>2280</v>
      </c>
      <c r="C1139" s="6"/>
      <c r="D1139" s="7">
        <v>45432.0</v>
      </c>
      <c r="E1139" s="7">
        <v>45807.0</v>
      </c>
      <c r="F1139" s="7">
        <v>45807.0</v>
      </c>
    </row>
    <row r="1140">
      <c r="A1140" s="4" t="s">
        <v>2281</v>
      </c>
      <c r="B1140" s="5" t="s">
        <v>2282</v>
      </c>
      <c r="C1140" s="6"/>
      <c r="D1140" s="7">
        <v>45432.0</v>
      </c>
      <c r="E1140" s="7">
        <v>45807.0</v>
      </c>
      <c r="F1140" s="7">
        <v>45807.0</v>
      </c>
    </row>
    <row r="1141">
      <c r="A1141" s="4" t="s">
        <v>2283</v>
      </c>
      <c r="B1141" s="5" t="s">
        <v>2284</v>
      </c>
      <c r="C1141" s="6"/>
      <c r="D1141" s="7">
        <v>45432.0</v>
      </c>
      <c r="E1141" s="7">
        <v>45805.0</v>
      </c>
      <c r="F1141" s="7">
        <v>45805.0</v>
      </c>
    </row>
    <row r="1142">
      <c r="A1142" s="4" t="s">
        <v>2285</v>
      </c>
      <c r="B1142" s="5" t="s">
        <v>2286</v>
      </c>
      <c r="C1142" s="6"/>
      <c r="D1142" s="7">
        <v>45432.0</v>
      </c>
      <c r="E1142" s="7">
        <v>45806.0</v>
      </c>
      <c r="F1142" s="7">
        <v>45806.0</v>
      </c>
    </row>
    <row r="1143">
      <c r="A1143" s="4" t="s">
        <v>2287</v>
      </c>
      <c r="B1143" s="5" t="s">
        <v>2288</v>
      </c>
      <c r="C1143" s="6"/>
      <c r="D1143" s="7">
        <v>45432.0</v>
      </c>
      <c r="E1143" s="7">
        <v>45806.0</v>
      </c>
      <c r="F1143" s="7">
        <v>45806.0</v>
      </c>
    </row>
    <row r="1144">
      <c r="A1144" s="4" t="s">
        <v>2289</v>
      </c>
      <c r="B1144" s="5" t="s">
        <v>2290</v>
      </c>
      <c r="C1144" s="6"/>
      <c r="D1144" s="7">
        <v>45432.0</v>
      </c>
      <c r="E1144" s="7">
        <v>45805.0</v>
      </c>
      <c r="F1144" s="7">
        <v>45805.0</v>
      </c>
    </row>
    <row r="1145">
      <c r="A1145" s="4" t="s">
        <v>2291</v>
      </c>
      <c r="B1145" s="5" t="s">
        <v>2292</v>
      </c>
      <c r="C1145" s="6"/>
      <c r="D1145" s="7">
        <v>45432.0</v>
      </c>
      <c r="E1145" s="7">
        <v>45806.0</v>
      </c>
      <c r="F1145" s="7">
        <v>45806.0</v>
      </c>
    </row>
    <row r="1146">
      <c r="A1146" s="4" t="s">
        <v>2293</v>
      </c>
      <c r="B1146" s="5" t="s">
        <v>2294</v>
      </c>
      <c r="C1146" s="6"/>
      <c r="D1146" s="7">
        <v>45432.0</v>
      </c>
      <c r="E1146" s="7">
        <v>45806.0</v>
      </c>
      <c r="F1146" s="7">
        <v>45806.0</v>
      </c>
    </row>
    <row r="1147">
      <c r="A1147" s="4" t="s">
        <v>2295</v>
      </c>
      <c r="B1147" s="5" t="s">
        <v>2296</v>
      </c>
      <c r="C1147" s="6"/>
      <c r="D1147" s="7">
        <v>45433.0</v>
      </c>
      <c r="E1147" s="7">
        <v>45793.0</v>
      </c>
      <c r="F1147" s="7">
        <v>45793.0</v>
      </c>
    </row>
    <row r="1148">
      <c r="A1148" s="4" t="s">
        <v>2297</v>
      </c>
      <c r="B1148" s="5" t="s">
        <v>2298</v>
      </c>
      <c r="C1148" s="6"/>
      <c r="D1148" s="7">
        <v>45433.0</v>
      </c>
      <c r="E1148" s="7">
        <v>45806.0</v>
      </c>
      <c r="F1148" s="7">
        <v>45806.0</v>
      </c>
    </row>
    <row r="1149">
      <c r="A1149" s="4" t="s">
        <v>2299</v>
      </c>
      <c r="B1149" s="5" t="s">
        <v>2300</v>
      </c>
      <c r="C1149" s="6"/>
      <c r="D1149" s="7">
        <v>45433.0</v>
      </c>
      <c r="E1149" s="7">
        <v>45810.0</v>
      </c>
      <c r="F1149" s="7">
        <v>45810.0</v>
      </c>
    </row>
    <row r="1150">
      <c r="A1150" s="4" t="s">
        <v>2301</v>
      </c>
      <c r="B1150" s="5" t="s">
        <v>2302</v>
      </c>
      <c r="C1150" s="6"/>
      <c r="D1150" s="7">
        <v>45433.0</v>
      </c>
      <c r="E1150" s="7">
        <v>45807.0</v>
      </c>
      <c r="F1150" s="7">
        <v>45807.0</v>
      </c>
    </row>
    <row r="1151">
      <c r="A1151" s="4" t="s">
        <v>2303</v>
      </c>
      <c r="B1151" s="5" t="s">
        <v>2304</v>
      </c>
      <c r="C1151" s="6"/>
      <c r="D1151" s="7">
        <v>45433.0</v>
      </c>
      <c r="E1151" s="7">
        <v>45813.0</v>
      </c>
      <c r="F1151" s="7">
        <v>45813.0</v>
      </c>
    </row>
    <row r="1152">
      <c r="A1152" s="4" t="s">
        <v>2305</v>
      </c>
      <c r="B1152" s="5" t="s">
        <v>2306</v>
      </c>
      <c r="C1152" s="6"/>
      <c r="D1152" s="7">
        <v>45433.0</v>
      </c>
      <c r="E1152" s="7">
        <v>45806.0</v>
      </c>
      <c r="F1152" s="7">
        <v>45806.0</v>
      </c>
    </row>
    <row r="1153">
      <c r="A1153" s="4" t="s">
        <v>2307</v>
      </c>
      <c r="B1153" s="5" t="s">
        <v>2308</v>
      </c>
      <c r="C1153" s="6"/>
      <c r="D1153" s="7">
        <v>45433.0</v>
      </c>
      <c r="E1153" s="7">
        <v>45818.0</v>
      </c>
      <c r="F1153" s="7">
        <v>45818.0</v>
      </c>
    </row>
    <row r="1154">
      <c r="A1154" s="4" t="s">
        <v>2309</v>
      </c>
      <c r="B1154" s="5" t="s">
        <v>2310</v>
      </c>
      <c r="C1154" s="6"/>
      <c r="D1154" s="7">
        <v>45433.0</v>
      </c>
      <c r="E1154" s="7">
        <v>45799.0</v>
      </c>
      <c r="F1154" s="7">
        <v>45799.0</v>
      </c>
    </row>
    <row r="1155">
      <c r="A1155" s="4" t="s">
        <v>2311</v>
      </c>
      <c r="B1155" s="5" t="s">
        <v>2312</v>
      </c>
      <c r="C1155" s="6"/>
      <c r="D1155" s="7">
        <v>45433.0</v>
      </c>
      <c r="E1155" s="7">
        <v>45806.0</v>
      </c>
      <c r="F1155" s="7">
        <v>45806.0</v>
      </c>
    </row>
    <row r="1156">
      <c r="A1156" s="4" t="s">
        <v>2313</v>
      </c>
      <c r="B1156" s="5" t="s">
        <v>2314</v>
      </c>
      <c r="C1156" s="6"/>
      <c r="D1156" s="7">
        <v>45433.0</v>
      </c>
      <c r="E1156" s="7">
        <v>45799.0</v>
      </c>
      <c r="F1156" s="7">
        <v>45799.0</v>
      </c>
    </row>
    <row r="1157">
      <c r="A1157" s="4" t="s">
        <v>2315</v>
      </c>
      <c r="B1157" s="5" t="s">
        <v>2316</v>
      </c>
      <c r="C1157" s="6"/>
      <c r="D1157" s="7">
        <v>45433.0</v>
      </c>
      <c r="E1157" s="7">
        <v>45813.0</v>
      </c>
      <c r="F1157" s="7">
        <v>45813.0</v>
      </c>
    </row>
    <row r="1158">
      <c r="A1158" s="4" t="s">
        <v>2317</v>
      </c>
      <c r="B1158" s="5" t="s">
        <v>2318</v>
      </c>
      <c r="C1158" s="6"/>
      <c r="D1158" s="7">
        <v>45433.0</v>
      </c>
      <c r="E1158" s="7">
        <v>45799.0</v>
      </c>
      <c r="F1158" s="7">
        <v>45799.0</v>
      </c>
    </row>
    <row r="1159">
      <c r="A1159" s="4" t="s">
        <v>2319</v>
      </c>
      <c r="B1159" s="5" t="s">
        <v>2320</v>
      </c>
      <c r="C1159" s="6"/>
      <c r="D1159" s="7">
        <v>45433.0</v>
      </c>
      <c r="E1159" s="7">
        <v>45818.0</v>
      </c>
      <c r="F1159" s="7">
        <v>45818.0</v>
      </c>
    </row>
    <row r="1160">
      <c r="A1160" s="4" t="s">
        <v>2321</v>
      </c>
      <c r="B1160" s="5" t="s">
        <v>2322</v>
      </c>
      <c r="C1160" s="6"/>
      <c r="D1160" s="7">
        <v>45433.0</v>
      </c>
      <c r="E1160" s="7">
        <v>45806.0</v>
      </c>
      <c r="F1160" s="7">
        <v>45806.0</v>
      </c>
    </row>
    <row r="1161">
      <c r="A1161" s="4" t="s">
        <v>2323</v>
      </c>
      <c r="B1161" s="5" t="s">
        <v>2324</v>
      </c>
      <c r="C1161" s="6"/>
      <c r="D1161" s="7">
        <v>45433.0</v>
      </c>
      <c r="E1161" s="7">
        <v>45806.0</v>
      </c>
      <c r="F1161" s="7">
        <v>45806.0</v>
      </c>
    </row>
    <row r="1162">
      <c r="A1162" s="4" t="s">
        <v>2325</v>
      </c>
      <c r="B1162" s="5" t="s">
        <v>2326</v>
      </c>
      <c r="C1162" s="6"/>
      <c r="D1162" s="7">
        <v>45433.0</v>
      </c>
      <c r="E1162" s="7">
        <v>45806.0</v>
      </c>
      <c r="F1162" s="7">
        <v>45806.0</v>
      </c>
    </row>
    <row r="1163">
      <c r="A1163" s="4" t="s">
        <v>2327</v>
      </c>
      <c r="B1163" s="5" t="s">
        <v>2328</v>
      </c>
      <c r="C1163" s="6"/>
      <c r="D1163" s="7">
        <v>45433.0</v>
      </c>
      <c r="E1163" s="7">
        <v>45806.0</v>
      </c>
      <c r="F1163" s="7">
        <v>45806.0</v>
      </c>
    </row>
    <row r="1164">
      <c r="A1164" s="4" t="s">
        <v>2329</v>
      </c>
      <c r="B1164" s="5" t="s">
        <v>2330</v>
      </c>
      <c r="C1164" s="6"/>
      <c r="D1164" s="7">
        <v>45433.0</v>
      </c>
      <c r="E1164" s="7">
        <v>45806.0</v>
      </c>
      <c r="F1164" s="7">
        <v>45806.0</v>
      </c>
    </row>
    <row r="1165">
      <c r="A1165" s="4" t="s">
        <v>2331</v>
      </c>
      <c r="B1165" s="5" t="s">
        <v>2332</v>
      </c>
      <c r="C1165" s="6"/>
      <c r="D1165" s="7">
        <v>45433.0</v>
      </c>
      <c r="E1165" s="7">
        <v>45777.0</v>
      </c>
      <c r="F1165" s="7">
        <v>45777.0</v>
      </c>
    </row>
    <row r="1166">
      <c r="A1166" s="4" t="s">
        <v>2333</v>
      </c>
      <c r="B1166" s="5" t="s">
        <v>2334</v>
      </c>
      <c r="C1166" s="6"/>
      <c r="D1166" s="7">
        <v>45433.0</v>
      </c>
      <c r="E1166" s="7">
        <v>45818.0</v>
      </c>
      <c r="F1166" s="7">
        <v>45818.0</v>
      </c>
    </row>
    <row r="1167">
      <c r="A1167" s="4" t="s">
        <v>2335</v>
      </c>
      <c r="B1167" s="5" t="s">
        <v>2336</v>
      </c>
      <c r="C1167" s="6"/>
      <c r="D1167" s="7">
        <v>45433.0</v>
      </c>
      <c r="E1167" s="7">
        <v>45806.0</v>
      </c>
      <c r="F1167" s="7">
        <v>45806.0</v>
      </c>
    </row>
    <row r="1168">
      <c r="A1168" s="4" t="s">
        <v>2337</v>
      </c>
      <c r="B1168" s="5" t="s">
        <v>2338</v>
      </c>
      <c r="C1168" s="6"/>
      <c r="D1168" s="7">
        <v>45433.0</v>
      </c>
      <c r="E1168" s="7">
        <v>45805.0</v>
      </c>
      <c r="F1168" s="7">
        <v>45805.0</v>
      </c>
    </row>
    <row r="1169">
      <c r="A1169" s="4" t="s">
        <v>2339</v>
      </c>
      <c r="B1169" s="5" t="s">
        <v>2340</v>
      </c>
      <c r="C1169" s="6"/>
      <c r="D1169" s="7">
        <v>45433.0</v>
      </c>
      <c r="E1169" s="7">
        <v>45820.0</v>
      </c>
      <c r="F1169" s="7">
        <v>45820.0</v>
      </c>
    </row>
    <row r="1170">
      <c r="A1170" s="4" t="s">
        <v>2341</v>
      </c>
      <c r="B1170" s="5" t="s">
        <v>2342</v>
      </c>
      <c r="C1170" s="6"/>
      <c r="D1170" s="7">
        <v>45433.0</v>
      </c>
      <c r="E1170" s="7">
        <v>45806.0</v>
      </c>
      <c r="F1170" s="7">
        <v>45806.0</v>
      </c>
    </row>
    <row r="1171">
      <c r="A1171" s="4" t="s">
        <v>2343</v>
      </c>
      <c r="B1171" s="5" t="s">
        <v>2344</v>
      </c>
      <c r="C1171" s="6"/>
      <c r="D1171" s="7">
        <v>45433.0</v>
      </c>
      <c r="E1171" s="7">
        <v>45806.0</v>
      </c>
      <c r="F1171" s="7">
        <v>45806.0</v>
      </c>
    </row>
    <row r="1172">
      <c r="A1172" s="4" t="s">
        <v>2345</v>
      </c>
      <c r="B1172" s="5" t="s">
        <v>2346</v>
      </c>
      <c r="C1172" s="6"/>
      <c r="D1172" s="7">
        <v>45433.0</v>
      </c>
      <c r="E1172" s="7">
        <v>45798.0</v>
      </c>
      <c r="F1172" s="7">
        <v>45798.0</v>
      </c>
    </row>
    <row r="1173">
      <c r="A1173" s="4" t="s">
        <v>2347</v>
      </c>
      <c r="B1173" s="5" t="s">
        <v>2348</v>
      </c>
      <c r="C1173" s="6"/>
      <c r="D1173" s="7">
        <v>45433.0</v>
      </c>
      <c r="E1173" s="7">
        <v>45806.0</v>
      </c>
      <c r="F1173" s="7">
        <v>45806.0</v>
      </c>
    </row>
    <row r="1174">
      <c r="A1174" s="4" t="s">
        <v>2349</v>
      </c>
      <c r="B1174" s="5" t="s">
        <v>2350</v>
      </c>
      <c r="C1174" s="6"/>
      <c r="D1174" s="7">
        <v>45433.0</v>
      </c>
      <c r="E1174" s="7">
        <v>45812.0</v>
      </c>
      <c r="F1174" s="7">
        <v>45812.0</v>
      </c>
    </row>
    <row r="1175">
      <c r="A1175" s="4" t="s">
        <v>2351</v>
      </c>
      <c r="B1175" s="5" t="s">
        <v>2352</v>
      </c>
      <c r="C1175" s="6"/>
      <c r="D1175" s="7">
        <v>45433.0</v>
      </c>
      <c r="E1175" s="7">
        <v>45806.0</v>
      </c>
      <c r="F1175" s="7">
        <v>45806.0</v>
      </c>
    </row>
    <row r="1176">
      <c r="A1176" s="4" t="s">
        <v>2353</v>
      </c>
      <c r="B1176" s="5" t="s">
        <v>2354</v>
      </c>
      <c r="C1176" s="6"/>
      <c r="D1176" s="7">
        <v>45433.0</v>
      </c>
      <c r="E1176" s="7">
        <v>45805.0</v>
      </c>
      <c r="F1176" s="7">
        <v>45805.0</v>
      </c>
    </row>
    <row r="1177">
      <c r="A1177" s="4" t="s">
        <v>2355</v>
      </c>
      <c r="B1177" s="5" t="s">
        <v>2356</v>
      </c>
      <c r="C1177" s="6"/>
      <c r="D1177" s="7">
        <v>45433.0</v>
      </c>
      <c r="E1177" s="7">
        <v>45798.0</v>
      </c>
      <c r="F1177" s="7">
        <v>45798.0</v>
      </c>
    </row>
    <row r="1178">
      <c r="A1178" s="4" t="s">
        <v>2357</v>
      </c>
      <c r="B1178" s="5" t="s">
        <v>2358</v>
      </c>
      <c r="C1178" s="6"/>
      <c r="D1178" s="7">
        <v>45433.0</v>
      </c>
      <c r="E1178" s="7">
        <v>45805.0</v>
      </c>
      <c r="F1178" s="7">
        <v>45805.0</v>
      </c>
    </row>
    <row r="1179">
      <c r="A1179" s="4" t="s">
        <v>2359</v>
      </c>
      <c r="B1179" s="5" t="s">
        <v>2360</v>
      </c>
      <c r="C1179" s="6"/>
      <c r="D1179" s="7">
        <v>45433.0</v>
      </c>
      <c r="E1179" s="7">
        <v>45806.0</v>
      </c>
      <c r="F1179" s="7">
        <v>45806.0</v>
      </c>
    </row>
    <row r="1180">
      <c r="A1180" s="4" t="s">
        <v>2361</v>
      </c>
      <c r="B1180" s="5" t="s">
        <v>2362</v>
      </c>
      <c r="C1180" s="6"/>
      <c r="D1180" s="7">
        <v>45433.0</v>
      </c>
      <c r="E1180" s="7">
        <v>45799.0</v>
      </c>
      <c r="F1180" s="7">
        <v>45799.0</v>
      </c>
    </row>
    <row r="1181">
      <c r="A1181" s="4" t="s">
        <v>2363</v>
      </c>
      <c r="B1181" s="5" t="s">
        <v>2364</v>
      </c>
      <c r="C1181" s="6"/>
      <c r="D1181" s="7">
        <v>45433.0</v>
      </c>
      <c r="E1181" s="7">
        <v>45806.0</v>
      </c>
      <c r="F1181" s="7">
        <v>45806.0</v>
      </c>
    </row>
    <row r="1182">
      <c r="A1182" s="4" t="s">
        <v>2365</v>
      </c>
      <c r="B1182" s="5" t="s">
        <v>2366</v>
      </c>
      <c r="C1182" s="6"/>
      <c r="D1182" s="7">
        <v>45433.0</v>
      </c>
      <c r="E1182" s="7">
        <v>45806.0</v>
      </c>
      <c r="F1182" s="7">
        <v>45806.0</v>
      </c>
    </row>
    <row r="1183">
      <c r="A1183" s="4" t="s">
        <v>2367</v>
      </c>
      <c r="B1183" s="5" t="s">
        <v>2368</v>
      </c>
      <c r="C1183" s="6"/>
      <c r="D1183" s="7">
        <v>45433.0</v>
      </c>
      <c r="E1183" s="7">
        <v>45805.0</v>
      </c>
      <c r="F1183" s="7">
        <v>45805.0</v>
      </c>
    </row>
    <row r="1184">
      <c r="A1184" s="4" t="s">
        <v>2369</v>
      </c>
      <c r="B1184" s="5" t="s">
        <v>2370</v>
      </c>
      <c r="C1184" s="6"/>
      <c r="D1184" s="7">
        <v>45433.0</v>
      </c>
      <c r="E1184" s="7">
        <v>45805.0</v>
      </c>
      <c r="F1184" s="7">
        <v>45805.0</v>
      </c>
    </row>
    <row r="1185">
      <c r="A1185" s="4" t="s">
        <v>2371</v>
      </c>
      <c r="B1185" s="5" t="s">
        <v>2372</v>
      </c>
      <c r="C1185" s="6"/>
      <c r="D1185" s="7">
        <v>45433.0</v>
      </c>
      <c r="E1185" s="7">
        <v>45805.0</v>
      </c>
      <c r="F1185" s="7">
        <v>45805.0</v>
      </c>
    </row>
    <row r="1186">
      <c r="A1186" s="4" t="s">
        <v>2373</v>
      </c>
      <c r="B1186" s="5" t="s">
        <v>2374</v>
      </c>
      <c r="C1186" s="6"/>
      <c r="D1186" s="7">
        <v>45433.0</v>
      </c>
      <c r="E1186" s="7">
        <v>45805.0</v>
      </c>
      <c r="F1186" s="7">
        <v>45805.0</v>
      </c>
    </row>
    <row r="1187">
      <c r="A1187" s="4" t="s">
        <v>2375</v>
      </c>
      <c r="B1187" s="5" t="s">
        <v>2376</v>
      </c>
      <c r="C1187" s="6"/>
      <c r="D1187" s="7">
        <v>45433.0</v>
      </c>
      <c r="E1187" s="7">
        <v>45819.0</v>
      </c>
      <c r="F1187" s="7">
        <v>45819.0</v>
      </c>
    </row>
    <row r="1188">
      <c r="A1188" s="4" t="s">
        <v>2377</v>
      </c>
      <c r="B1188" s="5" t="s">
        <v>2378</v>
      </c>
      <c r="C1188" s="6"/>
      <c r="D1188" s="7">
        <v>45433.0</v>
      </c>
      <c r="E1188" s="7">
        <v>45806.0</v>
      </c>
      <c r="F1188" s="7">
        <v>45806.0</v>
      </c>
    </row>
    <row r="1189">
      <c r="A1189" s="4" t="s">
        <v>2379</v>
      </c>
      <c r="B1189" s="5" t="s">
        <v>2380</v>
      </c>
      <c r="C1189" s="6"/>
      <c r="D1189" s="7">
        <v>45433.0</v>
      </c>
      <c r="E1189" s="7">
        <v>45806.0</v>
      </c>
      <c r="F1189" s="7">
        <v>45806.0</v>
      </c>
    </row>
    <row r="1190">
      <c r="A1190" s="4" t="s">
        <v>2381</v>
      </c>
      <c r="B1190" s="5" t="s">
        <v>2382</v>
      </c>
      <c r="C1190" s="6"/>
      <c r="D1190" s="7">
        <v>45433.0</v>
      </c>
      <c r="E1190" s="7">
        <v>45798.0</v>
      </c>
      <c r="F1190" s="7">
        <v>45798.0</v>
      </c>
    </row>
    <row r="1191">
      <c r="A1191" s="4" t="s">
        <v>2383</v>
      </c>
      <c r="B1191" s="5" t="s">
        <v>2384</v>
      </c>
      <c r="C1191" s="6"/>
      <c r="D1191" s="7">
        <v>45433.0</v>
      </c>
      <c r="E1191" s="7">
        <v>45441.0</v>
      </c>
      <c r="F1191" s="7">
        <v>45441.0</v>
      </c>
    </row>
    <row r="1192">
      <c r="A1192" s="4" t="s">
        <v>2385</v>
      </c>
      <c r="B1192" s="5" t="s">
        <v>2386</v>
      </c>
      <c r="C1192" s="6"/>
      <c r="D1192" s="7">
        <v>45433.0</v>
      </c>
      <c r="E1192" s="7">
        <v>45806.0</v>
      </c>
      <c r="F1192" s="7">
        <v>45806.0</v>
      </c>
    </row>
    <row r="1193">
      <c r="A1193" s="4" t="s">
        <v>2387</v>
      </c>
      <c r="B1193" s="5" t="s">
        <v>2388</v>
      </c>
      <c r="C1193" s="6"/>
      <c r="D1193" s="7">
        <v>45433.0</v>
      </c>
      <c r="E1193" s="7">
        <v>45805.0</v>
      </c>
      <c r="F1193" s="7">
        <v>45805.0</v>
      </c>
    </row>
    <row r="1194">
      <c r="A1194" s="4" t="s">
        <v>2389</v>
      </c>
      <c r="B1194" s="5" t="s">
        <v>2390</v>
      </c>
      <c r="C1194" s="6"/>
      <c r="D1194" s="7">
        <v>45433.0</v>
      </c>
      <c r="E1194" s="7">
        <v>45799.0</v>
      </c>
      <c r="F1194" s="7">
        <v>45799.0</v>
      </c>
    </row>
    <row r="1195">
      <c r="A1195" s="4" t="s">
        <v>2391</v>
      </c>
      <c r="B1195" s="5" t="s">
        <v>2392</v>
      </c>
      <c r="C1195" s="6"/>
      <c r="D1195" s="7">
        <v>45433.0</v>
      </c>
      <c r="E1195" s="7">
        <v>45805.0</v>
      </c>
      <c r="F1195" s="7">
        <v>45805.0</v>
      </c>
    </row>
    <row r="1196">
      <c r="A1196" s="4" t="s">
        <v>2393</v>
      </c>
      <c r="B1196" s="5" t="s">
        <v>2394</v>
      </c>
      <c r="C1196" s="6"/>
      <c r="D1196" s="7">
        <v>45433.0</v>
      </c>
      <c r="E1196" s="7">
        <v>45793.0</v>
      </c>
      <c r="F1196" s="7">
        <v>45793.0</v>
      </c>
    </row>
    <row r="1197">
      <c r="A1197" s="4" t="s">
        <v>2395</v>
      </c>
      <c r="B1197" s="5" t="s">
        <v>2396</v>
      </c>
      <c r="C1197" s="6"/>
      <c r="D1197" s="7">
        <v>45433.0</v>
      </c>
      <c r="E1197" s="7">
        <v>45800.0</v>
      </c>
      <c r="F1197" s="7">
        <v>45800.0</v>
      </c>
    </row>
    <row r="1198">
      <c r="A1198" s="4" t="s">
        <v>2397</v>
      </c>
      <c r="B1198" s="5" t="s">
        <v>2398</v>
      </c>
      <c r="C1198" s="6"/>
      <c r="D1198" s="7">
        <v>45433.0</v>
      </c>
      <c r="E1198" s="7">
        <v>45783.0</v>
      </c>
      <c r="F1198" s="7">
        <v>45783.0</v>
      </c>
    </row>
    <row r="1199">
      <c r="A1199" s="4" t="s">
        <v>2399</v>
      </c>
      <c r="B1199" s="5" t="s">
        <v>2400</v>
      </c>
      <c r="C1199" s="6"/>
      <c r="D1199" s="7">
        <v>45433.0</v>
      </c>
      <c r="E1199" s="7">
        <v>45805.0</v>
      </c>
      <c r="F1199" s="7">
        <v>45805.0</v>
      </c>
    </row>
    <row r="1200">
      <c r="A1200" s="4" t="s">
        <v>2401</v>
      </c>
      <c r="B1200" s="5" t="s">
        <v>2402</v>
      </c>
      <c r="C1200" s="6"/>
      <c r="D1200" s="7">
        <v>45433.0</v>
      </c>
      <c r="E1200" s="7">
        <v>45789.0</v>
      </c>
      <c r="F1200" s="7">
        <v>45789.0</v>
      </c>
    </row>
    <row r="1201">
      <c r="A1201" s="4" t="s">
        <v>2403</v>
      </c>
      <c r="B1201" s="5" t="s">
        <v>2404</v>
      </c>
      <c r="C1201" s="6"/>
      <c r="D1201" s="7">
        <v>45433.0</v>
      </c>
      <c r="E1201" s="7">
        <v>45805.0</v>
      </c>
      <c r="F1201" s="7">
        <v>45805.0</v>
      </c>
    </row>
    <row r="1202">
      <c r="A1202" s="4" t="s">
        <v>2405</v>
      </c>
      <c r="B1202" s="5" t="s">
        <v>2406</v>
      </c>
      <c r="C1202" s="6"/>
      <c r="D1202" s="7">
        <v>45433.0</v>
      </c>
      <c r="E1202" s="7">
        <v>45805.0</v>
      </c>
      <c r="F1202" s="7">
        <v>45805.0</v>
      </c>
    </row>
    <row r="1203">
      <c r="A1203" s="4" t="s">
        <v>2407</v>
      </c>
      <c r="B1203" s="5" t="s">
        <v>2408</v>
      </c>
      <c r="C1203" s="6"/>
      <c r="D1203" s="7">
        <v>45433.0</v>
      </c>
      <c r="E1203" s="7">
        <v>45814.0</v>
      </c>
      <c r="F1203" s="7">
        <v>45814.0</v>
      </c>
    </row>
    <row r="1204">
      <c r="A1204" s="4" t="s">
        <v>2409</v>
      </c>
      <c r="B1204" s="5" t="s">
        <v>2410</v>
      </c>
      <c r="C1204" s="6"/>
      <c r="D1204" s="7">
        <v>45433.0</v>
      </c>
      <c r="E1204" s="7">
        <v>45806.0</v>
      </c>
      <c r="F1204" s="7">
        <v>45806.0</v>
      </c>
    </row>
    <row r="1205">
      <c r="A1205" s="4" t="s">
        <v>2411</v>
      </c>
      <c r="B1205" s="5" t="s">
        <v>2412</v>
      </c>
      <c r="C1205" s="6"/>
      <c r="D1205" s="7">
        <v>45433.0</v>
      </c>
      <c r="E1205" s="7">
        <v>45805.0</v>
      </c>
      <c r="F1205" s="7">
        <v>45805.0</v>
      </c>
    </row>
    <row r="1206">
      <c r="A1206" s="4" t="s">
        <v>2413</v>
      </c>
      <c r="B1206" s="5" t="s">
        <v>2414</v>
      </c>
      <c r="C1206" s="6"/>
      <c r="D1206" s="7">
        <v>45433.0</v>
      </c>
      <c r="E1206" s="7">
        <v>45833.0</v>
      </c>
      <c r="F1206" s="7">
        <v>45833.0</v>
      </c>
    </row>
    <row r="1207">
      <c r="A1207" s="4" t="s">
        <v>2415</v>
      </c>
      <c r="B1207" s="5" t="s">
        <v>2416</v>
      </c>
      <c r="C1207" s="6"/>
      <c r="D1207" s="7">
        <v>45433.0</v>
      </c>
      <c r="E1207" s="7">
        <v>45805.0</v>
      </c>
      <c r="F1207" s="7">
        <v>45805.0</v>
      </c>
    </row>
    <row r="1208">
      <c r="A1208" s="4" t="s">
        <v>2417</v>
      </c>
      <c r="B1208" s="5" t="s">
        <v>2418</v>
      </c>
      <c r="C1208" s="6"/>
      <c r="D1208" s="7">
        <v>45433.0</v>
      </c>
      <c r="E1208" s="7">
        <v>45805.0</v>
      </c>
      <c r="F1208" s="7">
        <v>45805.0</v>
      </c>
    </row>
    <row r="1209">
      <c r="A1209" s="4" t="s">
        <v>2419</v>
      </c>
      <c r="B1209" s="5" t="s">
        <v>2420</v>
      </c>
      <c r="C1209" s="6"/>
      <c r="D1209" s="7">
        <v>45433.0</v>
      </c>
      <c r="E1209" s="7">
        <v>45792.0</v>
      </c>
      <c r="F1209" s="7">
        <v>45792.0</v>
      </c>
    </row>
    <row r="1210">
      <c r="A1210" s="4" t="s">
        <v>2421</v>
      </c>
      <c r="B1210" s="5" t="s">
        <v>2422</v>
      </c>
      <c r="C1210" s="6"/>
      <c r="D1210" s="7">
        <v>45433.0</v>
      </c>
      <c r="E1210" s="7">
        <v>45806.0</v>
      </c>
      <c r="F1210" s="7">
        <v>45806.0</v>
      </c>
    </row>
    <row r="1211">
      <c r="A1211" s="4" t="s">
        <v>2423</v>
      </c>
      <c r="B1211" s="5" t="s">
        <v>2424</v>
      </c>
      <c r="C1211" s="6"/>
      <c r="D1211" s="7">
        <v>45433.0</v>
      </c>
      <c r="E1211" s="7">
        <v>45806.0</v>
      </c>
      <c r="F1211" s="7">
        <v>45806.0</v>
      </c>
    </row>
    <row r="1212">
      <c r="A1212" s="4" t="s">
        <v>2425</v>
      </c>
      <c r="B1212" s="5" t="s">
        <v>2426</v>
      </c>
      <c r="C1212" s="6"/>
      <c r="D1212" s="7">
        <v>45433.0</v>
      </c>
      <c r="E1212" s="7">
        <v>45805.0</v>
      </c>
      <c r="F1212" s="7">
        <v>45805.0</v>
      </c>
    </row>
    <row r="1213">
      <c r="A1213" s="4" t="s">
        <v>2427</v>
      </c>
      <c r="B1213" s="5" t="s">
        <v>2428</v>
      </c>
      <c r="C1213" s="6"/>
      <c r="D1213" s="7">
        <v>45433.0</v>
      </c>
      <c r="E1213" s="7">
        <v>45805.0</v>
      </c>
      <c r="F1213" s="7">
        <v>45805.0</v>
      </c>
    </row>
    <row r="1214">
      <c r="A1214" s="4" t="s">
        <v>2429</v>
      </c>
      <c r="B1214" s="5" t="s">
        <v>2430</v>
      </c>
      <c r="C1214" s="6"/>
      <c r="D1214" s="7">
        <v>45433.0</v>
      </c>
      <c r="E1214" s="7">
        <v>45804.0</v>
      </c>
      <c r="F1214" s="7">
        <v>45804.0</v>
      </c>
    </row>
    <row r="1215">
      <c r="A1215" s="4" t="s">
        <v>2431</v>
      </c>
      <c r="B1215" s="5" t="s">
        <v>2432</v>
      </c>
      <c r="C1215" s="6"/>
      <c r="D1215" s="7">
        <v>45433.0</v>
      </c>
      <c r="E1215" s="7">
        <v>45810.0</v>
      </c>
      <c r="F1215" s="7">
        <v>45810.0</v>
      </c>
    </row>
    <row r="1216">
      <c r="A1216" s="4" t="s">
        <v>2433</v>
      </c>
      <c r="B1216" s="5" t="s">
        <v>2434</v>
      </c>
      <c r="C1216" s="6"/>
      <c r="D1216" s="7">
        <v>45433.0</v>
      </c>
      <c r="E1216" s="7">
        <v>45813.0</v>
      </c>
      <c r="F1216" s="7">
        <v>45813.0</v>
      </c>
    </row>
    <row r="1217">
      <c r="A1217" s="4" t="s">
        <v>2435</v>
      </c>
      <c r="B1217" s="5" t="s">
        <v>2436</v>
      </c>
      <c r="C1217" s="6"/>
      <c r="D1217" s="7">
        <v>45433.0</v>
      </c>
      <c r="E1217" s="7">
        <v>45805.0</v>
      </c>
      <c r="F1217" s="7">
        <v>45805.0</v>
      </c>
    </row>
    <row r="1218">
      <c r="A1218" s="4" t="s">
        <v>2437</v>
      </c>
      <c r="B1218" s="5" t="s">
        <v>2438</v>
      </c>
      <c r="C1218" s="6"/>
      <c r="D1218" s="7">
        <v>45433.0</v>
      </c>
      <c r="E1218" s="7">
        <v>45805.0</v>
      </c>
      <c r="F1218" s="7">
        <v>45805.0</v>
      </c>
    </row>
    <row r="1219">
      <c r="A1219" s="4" t="s">
        <v>2439</v>
      </c>
      <c r="B1219" s="5" t="s">
        <v>2440</v>
      </c>
      <c r="C1219" s="6"/>
      <c r="D1219" s="7">
        <v>45433.0</v>
      </c>
      <c r="E1219" s="7">
        <v>45806.0</v>
      </c>
      <c r="F1219" s="7">
        <v>45806.0</v>
      </c>
    </row>
    <row r="1220">
      <c r="A1220" s="4" t="s">
        <v>2441</v>
      </c>
      <c r="B1220" s="5" t="s">
        <v>2442</v>
      </c>
      <c r="C1220" s="6"/>
      <c r="D1220" s="7">
        <v>45433.0</v>
      </c>
      <c r="E1220" s="7">
        <v>45805.0</v>
      </c>
      <c r="F1220" s="7">
        <v>45805.0</v>
      </c>
    </row>
    <row r="1221">
      <c r="A1221" s="4" t="s">
        <v>2443</v>
      </c>
      <c r="B1221" s="5" t="s">
        <v>2444</v>
      </c>
      <c r="C1221" s="6"/>
      <c r="D1221" s="7">
        <v>45433.0</v>
      </c>
      <c r="E1221" s="7">
        <v>45790.0</v>
      </c>
      <c r="F1221" s="7">
        <v>45790.0</v>
      </c>
    </row>
    <row r="1222">
      <c r="A1222" s="4" t="s">
        <v>2445</v>
      </c>
      <c r="B1222" s="5" t="s">
        <v>2446</v>
      </c>
      <c r="C1222" s="6"/>
      <c r="D1222" s="7">
        <v>45433.0</v>
      </c>
      <c r="E1222" s="7">
        <v>45812.0</v>
      </c>
      <c r="F1222" s="7">
        <v>45812.0</v>
      </c>
    </row>
    <row r="1223">
      <c r="A1223" s="4" t="s">
        <v>2447</v>
      </c>
      <c r="B1223" s="5" t="s">
        <v>2448</v>
      </c>
      <c r="C1223" s="6"/>
      <c r="D1223" s="7">
        <v>45434.0</v>
      </c>
      <c r="E1223" s="7">
        <v>45819.0</v>
      </c>
      <c r="F1223" s="7">
        <v>45819.0</v>
      </c>
    </row>
    <row r="1224">
      <c r="A1224" s="4" t="s">
        <v>2449</v>
      </c>
      <c r="B1224" s="5" t="s">
        <v>2450</v>
      </c>
      <c r="C1224" s="6"/>
      <c r="D1224" s="7">
        <v>45434.0</v>
      </c>
      <c r="E1224" s="7">
        <v>45441.0</v>
      </c>
      <c r="F1224" s="7">
        <v>45441.0</v>
      </c>
    </row>
    <row r="1225">
      <c r="A1225" s="4" t="s">
        <v>2451</v>
      </c>
      <c r="B1225" s="5" t="s">
        <v>2452</v>
      </c>
      <c r="C1225" s="6"/>
      <c r="D1225" s="7">
        <v>45434.0</v>
      </c>
      <c r="E1225" s="7">
        <v>45804.0</v>
      </c>
      <c r="F1225" s="7">
        <v>45804.0</v>
      </c>
    </row>
    <row r="1226">
      <c r="A1226" s="4" t="s">
        <v>2453</v>
      </c>
      <c r="B1226" s="5" t="s">
        <v>2454</v>
      </c>
      <c r="C1226" s="6"/>
      <c r="D1226" s="7">
        <v>45434.0</v>
      </c>
      <c r="E1226" s="7">
        <v>45804.0</v>
      </c>
      <c r="F1226" s="7">
        <v>45804.0</v>
      </c>
    </row>
    <row r="1227">
      <c r="A1227" s="4" t="s">
        <v>2455</v>
      </c>
      <c r="B1227" s="5" t="s">
        <v>2456</v>
      </c>
      <c r="C1227" s="6"/>
      <c r="D1227" s="7">
        <v>45434.0</v>
      </c>
      <c r="E1227" s="7">
        <v>45804.0</v>
      </c>
      <c r="F1227" s="7">
        <v>45804.0</v>
      </c>
    </row>
    <row r="1228">
      <c r="A1228" s="4" t="s">
        <v>2457</v>
      </c>
      <c r="B1228" s="5" t="s">
        <v>2458</v>
      </c>
      <c r="C1228" s="6"/>
      <c r="D1228" s="7">
        <v>45434.0</v>
      </c>
      <c r="E1228" s="7">
        <v>45805.0</v>
      </c>
      <c r="F1228" s="7">
        <v>45805.0</v>
      </c>
    </row>
    <row r="1229">
      <c r="A1229" s="4" t="s">
        <v>2459</v>
      </c>
      <c r="B1229" s="5" t="s">
        <v>2460</v>
      </c>
      <c r="C1229" s="6"/>
      <c r="D1229" s="7">
        <v>45434.0</v>
      </c>
      <c r="E1229" s="7">
        <v>45804.0</v>
      </c>
      <c r="F1229" s="7">
        <v>45804.0</v>
      </c>
    </row>
    <row r="1230">
      <c r="A1230" s="4" t="s">
        <v>2461</v>
      </c>
      <c r="B1230" s="5" t="s">
        <v>2462</v>
      </c>
      <c r="C1230" s="6"/>
      <c r="D1230" s="7">
        <v>45434.0</v>
      </c>
      <c r="E1230" s="7">
        <v>45804.0</v>
      </c>
      <c r="F1230" s="7">
        <v>45804.0</v>
      </c>
    </row>
    <row r="1231">
      <c r="A1231" s="4" t="s">
        <v>2463</v>
      </c>
      <c r="B1231" s="5" t="s">
        <v>2464</v>
      </c>
      <c r="C1231" s="6"/>
      <c r="D1231" s="7">
        <v>45434.0</v>
      </c>
      <c r="E1231" s="7">
        <v>45804.0</v>
      </c>
      <c r="F1231" s="7">
        <v>45804.0</v>
      </c>
    </row>
    <row r="1232">
      <c r="A1232" s="4" t="s">
        <v>2465</v>
      </c>
      <c r="B1232" s="5" t="s">
        <v>2466</v>
      </c>
      <c r="C1232" s="6"/>
      <c r="D1232" s="7">
        <v>45434.0</v>
      </c>
      <c r="E1232" s="7">
        <v>45804.0</v>
      </c>
      <c r="F1232" s="7">
        <v>45804.0</v>
      </c>
    </row>
    <row r="1233">
      <c r="A1233" s="4" t="s">
        <v>2467</v>
      </c>
      <c r="B1233" s="5" t="s">
        <v>2468</v>
      </c>
      <c r="C1233" s="6"/>
      <c r="D1233" s="7">
        <v>45434.0</v>
      </c>
      <c r="E1233" s="7">
        <v>45806.0</v>
      </c>
      <c r="F1233" s="7">
        <v>45806.0</v>
      </c>
    </row>
    <row r="1234">
      <c r="A1234" s="4" t="s">
        <v>2469</v>
      </c>
      <c r="B1234" s="5" t="s">
        <v>2470</v>
      </c>
      <c r="C1234" s="6"/>
      <c r="D1234" s="7">
        <v>45434.0</v>
      </c>
      <c r="E1234" s="7">
        <v>45804.0</v>
      </c>
      <c r="F1234" s="7">
        <v>45804.0</v>
      </c>
    </row>
    <row r="1235">
      <c r="A1235" s="4" t="s">
        <v>2471</v>
      </c>
      <c r="B1235" s="5" t="s">
        <v>2472</v>
      </c>
      <c r="C1235" s="6"/>
      <c r="D1235" s="7">
        <v>45434.0</v>
      </c>
      <c r="E1235" s="7">
        <v>45797.0</v>
      </c>
      <c r="F1235" s="7">
        <v>45797.0</v>
      </c>
    </row>
    <row r="1236">
      <c r="A1236" s="4" t="s">
        <v>2473</v>
      </c>
      <c r="B1236" s="5" t="s">
        <v>2474</v>
      </c>
      <c r="C1236" s="6"/>
      <c r="D1236" s="7">
        <v>45434.0</v>
      </c>
      <c r="E1236" s="7">
        <v>45798.0</v>
      </c>
      <c r="F1236" s="7">
        <v>45798.0</v>
      </c>
    </row>
    <row r="1237">
      <c r="A1237" s="4" t="s">
        <v>2475</v>
      </c>
      <c r="B1237" s="5" t="s">
        <v>2476</v>
      </c>
      <c r="C1237" s="6"/>
      <c r="D1237" s="7">
        <v>45434.0</v>
      </c>
      <c r="E1237" s="7">
        <v>45806.0</v>
      </c>
      <c r="F1237" s="7">
        <v>45806.0</v>
      </c>
    </row>
    <row r="1238">
      <c r="A1238" s="4" t="s">
        <v>2477</v>
      </c>
      <c r="B1238" s="5" t="s">
        <v>2478</v>
      </c>
      <c r="C1238" s="6"/>
      <c r="D1238" s="7">
        <v>45434.0</v>
      </c>
      <c r="E1238" s="7">
        <v>45799.0</v>
      </c>
      <c r="F1238" s="7">
        <v>45799.0</v>
      </c>
    </row>
    <row r="1239">
      <c r="A1239" s="4" t="s">
        <v>2479</v>
      </c>
      <c r="B1239" s="5" t="s">
        <v>2480</v>
      </c>
      <c r="C1239" s="6"/>
      <c r="D1239" s="7">
        <v>45434.0</v>
      </c>
      <c r="E1239" s="7">
        <v>45797.0</v>
      </c>
      <c r="F1239" s="7">
        <v>45797.0</v>
      </c>
    </row>
    <row r="1240">
      <c r="A1240" s="4" t="s">
        <v>2481</v>
      </c>
      <c r="B1240" s="5" t="s">
        <v>2482</v>
      </c>
      <c r="C1240" s="6"/>
      <c r="D1240" s="7">
        <v>45434.0</v>
      </c>
      <c r="E1240" s="7">
        <v>45800.0</v>
      </c>
      <c r="F1240" s="7">
        <v>45800.0</v>
      </c>
    </row>
    <row r="1241">
      <c r="A1241" s="4" t="s">
        <v>2483</v>
      </c>
      <c r="B1241" s="5" t="s">
        <v>2484</v>
      </c>
      <c r="C1241" s="6"/>
      <c r="D1241" s="7">
        <v>45434.0</v>
      </c>
      <c r="E1241" s="7">
        <v>45807.0</v>
      </c>
      <c r="F1241" s="7">
        <v>45807.0</v>
      </c>
    </row>
    <row r="1242">
      <c r="A1242" s="4" t="s">
        <v>2485</v>
      </c>
      <c r="B1242" s="5" t="s">
        <v>2486</v>
      </c>
      <c r="C1242" s="6"/>
      <c r="D1242" s="7">
        <v>45434.0</v>
      </c>
      <c r="E1242" s="7">
        <v>45805.0</v>
      </c>
      <c r="F1242" s="7">
        <v>45805.0</v>
      </c>
    </row>
    <row r="1243">
      <c r="A1243" s="4" t="s">
        <v>2487</v>
      </c>
      <c r="B1243" s="5" t="s">
        <v>2488</v>
      </c>
      <c r="C1243" s="6"/>
      <c r="D1243" s="7">
        <v>45434.0</v>
      </c>
      <c r="E1243" s="7">
        <v>45800.0</v>
      </c>
      <c r="F1243" s="7">
        <v>45800.0</v>
      </c>
    </row>
    <row r="1244">
      <c r="A1244" s="4" t="s">
        <v>2489</v>
      </c>
      <c r="B1244" s="5" t="s">
        <v>2490</v>
      </c>
      <c r="C1244" s="6"/>
      <c r="D1244" s="7">
        <v>45434.0</v>
      </c>
      <c r="E1244" s="7">
        <v>45800.0</v>
      </c>
      <c r="F1244" s="7">
        <v>45800.0</v>
      </c>
    </row>
    <row r="1245">
      <c r="A1245" s="4" t="s">
        <v>2491</v>
      </c>
      <c r="B1245" s="5" t="s">
        <v>2492</v>
      </c>
      <c r="C1245" s="6"/>
      <c r="D1245" s="7">
        <v>45434.0</v>
      </c>
      <c r="E1245" s="7">
        <v>45804.0</v>
      </c>
      <c r="F1245" s="7">
        <v>45804.0</v>
      </c>
    </row>
    <row r="1246">
      <c r="A1246" s="4" t="s">
        <v>2493</v>
      </c>
      <c r="B1246" s="5" t="s">
        <v>2494</v>
      </c>
      <c r="C1246" s="6"/>
      <c r="D1246" s="7">
        <v>45434.0</v>
      </c>
      <c r="E1246" s="7">
        <v>45800.0</v>
      </c>
      <c r="F1246" s="7">
        <v>45800.0</v>
      </c>
    </row>
    <row r="1247">
      <c r="A1247" s="4" t="s">
        <v>2495</v>
      </c>
      <c r="B1247" s="5" t="s">
        <v>2496</v>
      </c>
      <c r="C1247" s="6"/>
      <c r="D1247" s="7">
        <v>45434.0</v>
      </c>
      <c r="E1247" s="7">
        <v>45772.0</v>
      </c>
      <c r="F1247" s="7">
        <v>45772.0</v>
      </c>
    </row>
    <row r="1248">
      <c r="A1248" s="4" t="s">
        <v>2497</v>
      </c>
      <c r="B1248" s="5" t="s">
        <v>2498</v>
      </c>
      <c r="C1248" s="6"/>
      <c r="D1248" s="7">
        <v>45434.0</v>
      </c>
      <c r="E1248" s="7">
        <v>45807.0</v>
      </c>
      <c r="F1248" s="7">
        <v>45807.0</v>
      </c>
    </row>
    <row r="1249">
      <c r="A1249" s="4" t="s">
        <v>2499</v>
      </c>
      <c r="B1249" s="5" t="s">
        <v>2500</v>
      </c>
      <c r="C1249" s="6"/>
      <c r="D1249" s="7">
        <v>45434.0</v>
      </c>
      <c r="E1249" s="7">
        <v>45800.0</v>
      </c>
      <c r="F1249" s="7">
        <v>45800.0</v>
      </c>
    </row>
    <row r="1250">
      <c r="A1250" s="4" t="s">
        <v>2501</v>
      </c>
      <c r="B1250" s="5" t="s">
        <v>2502</v>
      </c>
      <c r="C1250" s="6"/>
      <c r="D1250" s="7">
        <v>45434.0</v>
      </c>
      <c r="E1250" s="7">
        <v>45799.0</v>
      </c>
      <c r="F1250" s="7">
        <v>45799.0</v>
      </c>
    </row>
    <row r="1251">
      <c r="A1251" s="4" t="s">
        <v>2503</v>
      </c>
      <c r="B1251" s="5" t="s">
        <v>2504</v>
      </c>
      <c r="C1251" s="6"/>
      <c r="D1251" s="7">
        <v>45434.0</v>
      </c>
      <c r="E1251" s="7">
        <v>45792.0</v>
      </c>
      <c r="F1251" s="7">
        <v>45792.0</v>
      </c>
    </row>
    <row r="1252">
      <c r="A1252" s="4" t="s">
        <v>2505</v>
      </c>
      <c r="B1252" s="5" t="s">
        <v>2506</v>
      </c>
      <c r="C1252" s="6"/>
      <c r="D1252" s="7">
        <v>45434.0</v>
      </c>
      <c r="E1252" s="7">
        <v>45799.0</v>
      </c>
      <c r="F1252" s="7">
        <v>45799.0</v>
      </c>
    </row>
    <row r="1253">
      <c r="A1253" s="4" t="s">
        <v>2507</v>
      </c>
      <c r="B1253" s="5" t="s">
        <v>2508</v>
      </c>
      <c r="C1253" s="6"/>
      <c r="D1253" s="7">
        <v>45434.0</v>
      </c>
      <c r="E1253" s="7">
        <v>45799.0</v>
      </c>
      <c r="F1253" s="7">
        <v>45799.0</v>
      </c>
    </row>
    <row r="1254">
      <c r="A1254" s="4" t="s">
        <v>2509</v>
      </c>
      <c r="B1254" s="5" t="s">
        <v>2510</v>
      </c>
      <c r="C1254" s="6"/>
      <c r="D1254" s="7">
        <v>45434.0</v>
      </c>
      <c r="E1254" s="7">
        <v>45798.0</v>
      </c>
      <c r="F1254" s="7">
        <v>45798.0</v>
      </c>
    </row>
    <row r="1255">
      <c r="A1255" s="4" t="s">
        <v>2511</v>
      </c>
      <c r="B1255" s="5" t="s">
        <v>2512</v>
      </c>
      <c r="C1255" s="6"/>
      <c r="D1255" s="7">
        <v>45434.0</v>
      </c>
      <c r="E1255" s="7">
        <v>45799.0</v>
      </c>
      <c r="F1255" s="7">
        <v>45799.0</v>
      </c>
    </row>
    <row r="1256">
      <c r="A1256" s="4" t="s">
        <v>2513</v>
      </c>
      <c r="B1256" s="5" t="s">
        <v>2514</v>
      </c>
      <c r="C1256" s="6"/>
      <c r="D1256" s="7">
        <v>45434.0</v>
      </c>
      <c r="E1256" s="7">
        <v>45792.0</v>
      </c>
      <c r="F1256" s="7">
        <v>45792.0</v>
      </c>
    </row>
    <row r="1257">
      <c r="A1257" s="4" t="s">
        <v>2515</v>
      </c>
      <c r="B1257" s="5" t="s">
        <v>2516</v>
      </c>
      <c r="C1257" s="6"/>
      <c r="D1257" s="7">
        <v>45434.0</v>
      </c>
      <c r="E1257" s="7">
        <v>45796.0</v>
      </c>
      <c r="F1257" s="7">
        <v>45796.0</v>
      </c>
    </row>
    <row r="1258">
      <c r="A1258" s="4" t="s">
        <v>2517</v>
      </c>
      <c r="B1258" s="5" t="s">
        <v>2518</v>
      </c>
      <c r="C1258" s="6"/>
      <c r="D1258" s="7">
        <v>45434.0</v>
      </c>
      <c r="E1258" s="7">
        <v>45799.0</v>
      </c>
      <c r="F1258" s="7">
        <v>45799.0</v>
      </c>
    </row>
    <row r="1259">
      <c r="A1259" s="4" t="s">
        <v>2519</v>
      </c>
      <c r="B1259" s="5" t="s">
        <v>2520</v>
      </c>
      <c r="C1259" s="6"/>
      <c r="D1259" s="7">
        <v>45434.0</v>
      </c>
      <c r="E1259" s="7">
        <v>45798.0</v>
      </c>
      <c r="F1259" s="7">
        <v>45798.0</v>
      </c>
    </row>
    <row r="1260">
      <c r="A1260" s="4" t="s">
        <v>2521</v>
      </c>
      <c r="B1260" s="5" t="s">
        <v>2522</v>
      </c>
      <c r="C1260" s="6"/>
      <c r="D1260" s="7">
        <v>45434.0</v>
      </c>
      <c r="E1260" s="7">
        <v>45785.0</v>
      </c>
      <c r="F1260" s="7">
        <v>45785.0</v>
      </c>
    </row>
    <row r="1261">
      <c r="A1261" s="4" t="s">
        <v>2523</v>
      </c>
      <c r="B1261" s="5" t="s">
        <v>2524</v>
      </c>
      <c r="C1261" s="6"/>
      <c r="D1261" s="7">
        <v>45434.0</v>
      </c>
      <c r="E1261" s="7">
        <v>45799.0</v>
      </c>
      <c r="F1261" s="7">
        <v>45799.0</v>
      </c>
    </row>
    <row r="1262">
      <c r="A1262" s="4" t="s">
        <v>2525</v>
      </c>
      <c r="B1262" s="5" t="s">
        <v>2526</v>
      </c>
      <c r="C1262" s="6"/>
      <c r="D1262" s="7">
        <v>45434.0</v>
      </c>
      <c r="E1262" s="7">
        <v>45800.0</v>
      </c>
      <c r="F1262" s="7">
        <v>45800.0</v>
      </c>
    </row>
    <row r="1263">
      <c r="A1263" s="4" t="s">
        <v>2527</v>
      </c>
      <c r="B1263" s="5" t="s">
        <v>2528</v>
      </c>
      <c r="C1263" s="6"/>
      <c r="D1263" s="7">
        <v>45434.0</v>
      </c>
      <c r="E1263" s="7">
        <v>45799.0</v>
      </c>
      <c r="F1263" s="7">
        <v>45799.0</v>
      </c>
    </row>
    <row r="1264">
      <c r="A1264" s="4" t="s">
        <v>2529</v>
      </c>
      <c r="B1264" s="5" t="s">
        <v>2530</v>
      </c>
      <c r="C1264" s="6"/>
      <c r="D1264" s="7">
        <v>45434.0</v>
      </c>
      <c r="E1264" s="7">
        <v>45799.0</v>
      </c>
      <c r="F1264" s="7">
        <v>45799.0</v>
      </c>
    </row>
    <row r="1265">
      <c r="A1265" s="4" t="s">
        <v>2531</v>
      </c>
      <c r="B1265" s="5" t="s">
        <v>2532</v>
      </c>
      <c r="C1265" s="6"/>
      <c r="D1265" s="7">
        <v>45434.0</v>
      </c>
      <c r="E1265" s="7">
        <v>45435.0</v>
      </c>
      <c r="F1265" s="7">
        <v>45435.0</v>
      </c>
    </row>
    <row r="1266">
      <c r="A1266" s="4" t="s">
        <v>2533</v>
      </c>
      <c r="B1266" s="5" t="s">
        <v>2534</v>
      </c>
      <c r="C1266" s="6"/>
      <c r="D1266" s="7">
        <v>45434.0</v>
      </c>
      <c r="E1266" s="7">
        <v>45792.0</v>
      </c>
      <c r="F1266" s="7">
        <v>45792.0</v>
      </c>
    </row>
    <row r="1267">
      <c r="A1267" s="4" t="s">
        <v>2535</v>
      </c>
      <c r="B1267" s="5" t="s">
        <v>2536</v>
      </c>
      <c r="C1267" s="6"/>
      <c r="D1267" s="7">
        <v>45434.0</v>
      </c>
      <c r="E1267" s="7">
        <v>45799.0</v>
      </c>
      <c r="F1267" s="7">
        <v>45799.0</v>
      </c>
    </row>
    <row r="1268">
      <c r="A1268" s="4" t="s">
        <v>2537</v>
      </c>
      <c r="B1268" s="5" t="s">
        <v>2538</v>
      </c>
      <c r="C1268" s="6"/>
      <c r="D1268" s="7">
        <v>45434.0</v>
      </c>
      <c r="E1268" s="7">
        <v>45798.0</v>
      </c>
      <c r="F1268" s="7">
        <v>45798.0</v>
      </c>
    </row>
    <row r="1269">
      <c r="A1269" s="4" t="s">
        <v>2539</v>
      </c>
      <c r="B1269" s="5" t="s">
        <v>2540</v>
      </c>
      <c r="C1269" s="6"/>
      <c r="D1269" s="7">
        <v>45434.0</v>
      </c>
      <c r="E1269" s="7">
        <v>45435.0</v>
      </c>
      <c r="F1269" s="7">
        <v>45435.0</v>
      </c>
    </row>
    <row r="1270">
      <c r="A1270" s="4" t="s">
        <v>2541</v>
      </c>
      <c r="B1270" s="5" t="s">
        <v>2542</v>
      </c>
      <c r="C1270" s="6"/>
      <c r="D1270" s="7">
        <v>45434.0</v>
      </c>
      <c r="E1270" s="7">
        <v>45799.0</v>
      </c>
      <c r="F1270" s="7">
        <v>45799.0</v>
      </c>
    </row>
    <row r="1271">
      <c r="A1271" s="4" t="s">
        <v>2543</v>
      </c>
      <c r="B1271" s="5" t="s">
        <v>2544</v>
      </c>
      <c r="C1271" s="6"/>
      <c r="D1271" s="7">
        <v>45434.0</v>
      </c>
      <c r="E1271" s="7">
        <v>45797.0</v>
      </c>
      <c r="F1271" s="7">
        <v>45797.0</v>
      </c>
    </row>
    <row r="1272">
      <c r="A1272" s="4" t="s">
        <v>2545</v>
      </c>
      <c r="B1272" s="5" t="s">
        <v>2546</v>
      </c>
      <c r="C1272" s="6"/>
      <c r="D1272" s="7">
        <v>45434.0</v>
      </c>
      <c r="E1272" s="7">
        <v>45799.0</v>
      </c>
      <c r="F1272" s="7">
        <v>45799.0</v>
      </c>
    </row>
    <row r="1273">
      <c r="A1273" s="4" t="s">
        <v>2547</v>
      </c>
      <c r="B1273" s="5" t="s">
        <v>2548</v>
      </c>
      <c r="C1273" s="6"/>
      <c r="D1273" s="7">
        <v>45434.0</v>
      </c>
      <c r="E1273" s="7">
        <v>45799.0</v>
      </c>
      <c r="F1273" s="7">
        <v>45799.0</v>
      </c>
    </row>
    <row r="1274">
      <c r="A1274" s="4" t="s">
        <v>2549</v>
      </c>
      <c r="B1274" s="5" t="s">
        <v>2550</v>
      </c>
      <c r="C1274" s="6"/>
      <c r="D1274" s="7">
        <v>45434.0</v>
      </c>
      <c r="E1274" s="7">
        <v>45799.0</v>
      </c>
      <c r="F1274" s="7">
        <v>45799.0</v>
      </c>
    </row>
    <row r="1275">
      <c r="A1275" s="4" t="s">
        <v>2551</v>
      </c>
      <c r="B1275" s="5" t="s">
        <v>2552</v>
      </c>
      <c r="C1275" s="6"/>
      <c r="D1275" s="7">
        <v>45434.0</v>
      </c>
      <c r="E1275" s="7">
        <v>45799.0</v>
      </c>
      <c r="F1275" s="7">
        <v>45799.0</v>
      </c>
    </row>
    <row r="1276">
      <c r="A1276" s="4" t="s">
        <v>2553</v>
      </c>
      <c r="B1276" s="5" t="s">
        <v>2554</v>
      </c>
      <c r="C1276" s="6"/>
      <c r="D1276" s="7">
        <v>45434.0</v>
      </c>
      <c r="E1276" s="7">
        <v>45799.0</v>
      </c>
      <c r="F1276" s="7">
        <v>45799.0</v>
      </c>
    </row>
    <row r="1277">
      <c r="A1277" s="4" t="s">
        <v>2555</v>
      </c>
      <c r="B1277" s="5" t="s">
        <v>2556</v>
      </c>
      <c r="C1277" s="6"/>
      <c r="D1277" s="7">
        <v>45434.0</v>
      </c>
      <c r="E1277" s="7">
        <v>45799.0</v>
      </c>
      <c r="F1277" s="7">
        <v>45799.0</v>
      </c>
    </row>
    <row r="1278">
      <c r="A1278" s="4" t="s">
        <v>2557</v>
      </c>
      <c r="B1278" s="5" t="s">
        <v>2558</v>
      </c>
      <c r="C1278" s="6"/>
      <c r="D1278" s="7">
        <v>45434.0</v>
      </c>
      <c r="E1278" s="7">
        <v>45799.0</v>
      </c>
      <c r="F1278" s="7">
        <v>45799.0</v>
      </c>
    </row>
    <row r="1279">
      <c r="A1279" s="4" t="s">
        <v>2559</v>
      </c>
      <c r="B1279" s="5" t="s">
        <v>2560</v>
      </c>
      <c r="C1279" s="6"/>
      <c r="D1279" s="7">
        <v>45434.0</v>
      </c>
      <c r="E1279" s="7">
        <v>45799.0</v>
      </c>
      <c r="F1279" s="7">
        <v>45799.0</v>
      </c>
    </row>
    <row r="1280">
      <c r="A1280" s="4" t="s">
        <v>2561</v>
      </c>
      <c r="B1280" s="5" t="s">
        <v>2562</v>
      </c>
      <c r="C1280" s="6"/>
      <c r="D1280" s="7">
        <v>45434.0</v>
      </c>
      <c r="E1280" s="7">
        <v>45798.0</v>
      </c>
      <c r="F1280" s="7">
        <v>45798.0</v>
      </c>
    </row>
    <row r="1281">
      <c r="A1281" s="4" t="s">
        <v>2563</v>
      </c>
      <c r="B1281" s="5" t="s">
        <v>2564</v>
      </c>
      <c r="C1281" s="6"/>
      <c r="D1281" s="7">
        <v>45434.0</v>
      </c>
      <c r="E1281" s="7">
        <v>45792.0</v>
      </c>
      <c r="F1281" s="7">
        <v>45792.0</v>
      </c>
    </row>
    <row r="1282">
      <c r="A1282" s="4" t="s">
        <v>2565</v>
      </c>
      <c r="B1282" s="5" t="s">
        <v>2566</v>
      </c>
      <c r="C1282" s="6"/>
      <c r="D1282" s="7">
        <v>45434.0</v>
      </c>
      <c r="E1282" s="7">
        <v>45799.0</v>
      </c>
      <c r="F1282" s="7">
        <v>45799.0</v>
      </c>
    </row>
    <row r="1283">
      <c r="A1283" s="4" t="s">
        <v>2567</v>
      </c>
      <c r="B1283" s="5" t="s">
        <v>2568</v>
      </c>
      <c r="C1283" s="6"/>
      <c r="D1283" s="7">
        <v>45434.0</v>
      </c>
      <c r="E1283" s="7">
        <v>45799.0</v>
      </c>
      <c r="F1283" s="7">
        <v>45799.0</v>
      </c>
    </row>
    <row r="1284">
      <c r="A1284" s="4" t="s">
        <v>2569</v>
      </c>
      <c r="B1284" s="5" t="s">
        <v>2570</v>
      </c>
      <c r="C1284" s="6"/>
      <c r="D1284" s="7">
        <v>45434.0</v>
      </c>
      <c r="E1284" s="7">
        <v>45799.0</v>
      </c>
      <c r="F1284" s="7">
        <v>45799.0</v>
      </c>
    </row>
    <row r="1285">
      <c r="A1285" s="4" t="s">
        <v>2571</v>
      </c>
      <c r="B1285" s="5" t="s">
        <v>2572</v>
      </c>
      <c r="C1285" s="6"/>
      <c r="D1285" s="7">
        <v>45434.0</v>
      </c>
      <c r="E1285" s="7">
        <v>45800.0</v>
      </c>
      <c r="F1285" s="7">
        <v>45800.0</v>
      </c>
    </row>
    <row r="1286">
      <c r="A1286" s="4" t="s">
        <v>2573</v>
      </c>
      <c r="B1286" s="5" t="s">
        <v>2574</v>
      </c>
      <c r="C1286" s="6"/>
      <c r="D1286" s="7">
        <v>45434.0</v>
      </c>
      <c r="E1286" s="7">
        <v>45799.0</v>
      </c>
      <c r="F1286" s="7">
        <v>45799.0</v>
      </c>
    </row>
    <row r="1287">
      <c r="A1287" s="4" t="s">
        <v>2575</v>
      </c>
      <c r="B1287" s="5" t="s">
        <v>2576</v>
      </c>
      <c r="C1287" s="6"/>
      <c r="D1287" s="7">
        <v>45434.0</v>
      </c>
      <c r="E1287" s="7">
        <v>45799.0</v>
      </c>
      <c r="F1287" s="7">
        <v>45799.0</v>
      </c>
    </row>
    <row r="1288">
      <c r="A1288" s="4" t="s">
        <v>2577</v>
      </c>
      <c r="B1288" s="5" t="s">
        <v>2578</v>
      </c>
      <c r="C1288" s="6"/>
      <c r="D1288" s="7">
        <v>45434.0</v>
      </c>
      <c r="E1288" s="7">
        <v>45799.0</v>
      </c>
      <c r="F1288" s="7">
        <v>45799.0</v>
      </c>
    </row>
    <row r="1289">
      <c r="A1289" s="4" t="s">
        <v>2579</v>
      </c>
      <c r="B1289" s="5" t="s">
        <v>2580</v>
      </c>
      <c r="C1289" s="6"/>
      <c r="D1289" s="7">
        <v>45434.0</v>
      </c>
      <c r="E1289" s="7">
        <v>45799.0</v>
      </c>
      <c r="F1289" s="7">
        <v>45799.0</v>
      </c>
    </row>
    <row r="1290">
      <c r="A1290" s="4" t="s">
        <v>2581</v>
      </c>
      <c r="B1290" s="5" t="s">
        <v>2582</v>
      </c>
      <c r="C1290" s="6"/>
      <c r="D1290" s="7">
        <v>45434.0</v>
      </c>
      <c r="E1290" s="7">
        <v>45799.0</v>
      </c>
      <c r="F1290" s="7">
        <v>45799.0</v>
      </c>
    </row>
    <row r="1291">
      <c r="A1291" s="4" t="s">
        <v>2583</v>
      </c>
      <c r="B1291" s="5" t="s">
        <v>2584</v>
      </c>
      <c r="C1291" s="6"/>
      <c r="D1291" s="7">
        <v>45434.0</v>
      </c>
      <c r="E1291" s="7">
        <v>45799.0</v>
      </c>
      <c r="F1291" s="7">
        <v>45799.0</v>
      </c>
    </row>
    <row r="1292">
      <c r="A1292" s="4" t="s">
        <v>2585</v>
      </c>
      <c r="B1292" s="5" t="s">
        <v>2586</v>
      </c>
      <c r="C1292" s="6"/>
      <c r="D1292" s="7">
        <v>45434.0</v>
      </c>
      <c r="E1292" s="7">
        <v>45799.0</v>
      </c>
      <c r="F1292" s="7">
        <v>45799.0</v>
      </c>
    </row>
    <row r="1293">
      <c r="A1293" s="4" t="s">
        <v>2587</v>
      </c>
      <c r="B1293" s="5" t="s">
        <v>2588</v>
      </c>
      <c r="C1293" s="6"/>
      <c r="D1293" s="7">
        <v>45434.0</v>
      </c>
      <c r="E1293" s="7">
        <v>45799.0</v>
      </c>
      <c r="F1293" s="7">
        <v>45799.0</v>
      </c>
    </row>
    <row r="1294">
      <c r="A1294" s="4" t="s">
        <v>2589</v>
      </c>
      <c r="B1294" s="5" t="s">
        <v>2590</v>
      </c>
      <c r="C1294" s="6"/>
      <c r="D1294" s="7">
        <v>45434.0</v>
      </c>
      <c r="E1294" s="7">
        <v>45799.0</v>
      </c>
      <c r="F1294" s="7">
        <v>45799.0</v>
      </c>
    </row>
    <row r="1295">
      <c r="A1295" s="4" t="s">
        <v>2591</v>
      </c>
      <c r="B1295" s="5" t="s">
        <v>2592</v>
      </c>
      <c r="C1295" s="6"/>
      <c r="D1295" s="7">
        <v>45434.0</v>
      </c>
      <c r="E1295" s="7">
        <v>45799.0</v>
      </c>
      <c r="F1295" s="7">
        <v>45799.0</v>
      </c>
    </row>
    <row r="1296">
      <c r="A1296" s="4" t="s">
        <v>2593</v>
      </c>
      <c r="B1296" s="5" t="s">
        <v>2594</v>
      </c>
      <c r="C1296" s="6"/>
      <c r="D1296" s="7">
        <v>45434.0</v>
      </c>
      <c r="E1296" s="7">
        <v>45799.0</v>
      </c>
      <c r="F1296" s="7">
        <v>45799.0</v>
      </c>
    </row>
    <row r="1297">
      <c r="A1297" s="4" t="s">
        <v>2595</v>
      </c>
      <c r="B1297" s="5" t="s">
        <v>2596</v>
      </c>
      <c r="C1297" s="6"/>
      <c r="D1297" s="7">
        <v>45434.0</v>
      </c>
      <c r="E1297" s="7">
        <v>45799.0</v>
      </c>
      <c r="F1297" s="7">
        <v>45799.0</v>
      </c>
    </row>
    <row r="1298">
      <c r="A1298" s="4" t="s">
        <v>2597</v>
      </c>
      <c r="B1298" s="5" t="s">
        <v>2598</v>
      </c>
      <c r="C1298" s="6"/>
      <c r="D1298" s="7">
        <v>45434.0</v>
      </c>
      <c r="E1298" s="7">
        <v>45799.0</v>
      </c>
      <c r="F1298" s="7">
        <v>45799.0</v>
      </c>
    </row>
    <row r="1299">
      <c r="A1299" s="4" t="s">
        <v>2599</v>
      </c>
      <c r="B1299" s="5" t="s">
        <v>2600</v>
      </c>
      <c r="C1299" s="6"/>
      <c r="D1299" s="7">
        <v>45434.0</v>
      </c>
      <c r="E1299" s="7">
        <v>45806.0</v>
      </c>
      <c r="F1299" s="7">
        <v>45806.0</v>
      </c>
    </row>
    <row r="1300">
      <c r="A1300" s="4" t="s">
        <v>2601</v>
      </c>
      <c r="B1300" s="5" t="s">
        <v>2602</v>
      </c>
      <c r="C1300" s="6"/>
      <c r="D1300" s="7">
        <v>45434.0</v>
      </c>
      <c r="E1300" s="7">
        <v>45806.0</v>
      </c>
      <c r="F1300" s="7">
        <v>45806.0</v>
      </c>
    </row>
    <row r="1301">
      <c r="A1301" s="4" t="s">
        <v>2603</v>
      </c>
      <c r="B1301" s="5" t="s">
        <v>2604</v>
      </c>
      <c r="C1301" s="6"/>
      <c r="D1301" s="7">
        <v>45434.0</v>
      </c>
      <c r="E1301" s="7">
        <v>45797.0</v>
      </c>
      <c r="F1301" s="7">
        <v>45797.0</v>
      </c>
    </row>
    <row r="1302">
      <c r="A1302" s="4" t="s">
        <v>2605</v>
      </c>
      <c r="B1302" s="5" t="s">
        <v>2606</v>
      </c>
      <c r="C1302" s="6"/>
      <c r="D1302" s="7">
        <v>45434.0</v>
      </c>
      <c r="E1302" s="7">
        <v>45741.0</v>
      </c>
      <c r="F1302" s="7">
        <v>45741.0</v>
      </c>
    </row>
    <row r="1303">
      <c r="A1303" s="4" t="s">
        <v>2607</v>
      </c>
      <c r="B1303" s="5" t="s">
        <v>2608</v>
      </c>
      <c r="C1303" s="6"/>
      <c r="D1303" s="7">
        <v>45434.0</v>
      </c>
      <c r="E1303" s="7">
        <v>45799.0</v>
      </c>
      <c r="F1303" s="7">
        <v>45799.0</v>
      </c>
    </row>
    <row r="1304">
      <c r="A1304" s="4" t="s">
        <v>2609</v>
      </c>
      <c r="B1304" s="5" t="s">
        <v>2610</v>
      </c>
      <c r="C1304" s="6"/>
      <c r="D1304" s="7">
        <v>45434.0</v>
      </c>
      <c r="E1304" s="7">
        <v>45799.0</v>
      </c>
      <c r="F1304" s="7">
        <v>45799.0</v>
      </c>
    </row>
    <row r="1305">
      <c r="A1305" s="4" t="s">
        <v>2611</v>
      </c>
      <c r="B1305" s="5" t="s">
        <v>2612</v>
      </c>
      <c r="C1305" s="6"/>
      <c r="D1305" s="7">
        <v>45434.0</v>
      </c>
      <c r="E1305" s="7">
        <v>45792.0</v>
      </c>
      <c r="F1305" s="7">
        <v>45792.0</v>
      </c>
    </row>
    <row r="1306">
      <c r="A1306" s="4" t="s">
        <v>2613</v>
      </c>
      <c r="B1306" s="5" t="s">
        <v>2614</v>
      </c>
      <c r="C1306" s="6"/>
      <c r="D1306" s="7">
        <v>45434.0</v>
      </c>
      <c r="E1306" s="7">
        <v>45799.0</v>
      </c>
      <c r="F1306" s="7">
        <v>45799.0</v>
      </c>
    </row>
    <row r="1307">
      <c r="A1307" s="4" t="s">
        <v>2615</v>
      </c>
      <c r="B1307" s="5" t="s">
        <v>2616</v>
      </c>
      <c r="C1307" s="6"/>
      <c r="D1307" s="7">
        <v>45434.0</v>
      </c>
      <c r="E1307" s="7">
        <v>45791.0</v>
      </c>
      <c r="F1307" s="7">
        <v>45791.0</v>
      </c>
    </row>
    <row r="1308">
      <c r="A1308" s="4" t="s">
        <v>2617</v>
      </c>
      <c r="B1308" s="5" t="s">
        <v>2618</v>
      </c>
      <c r="C1308" s="6"/>
      <c r="D1308" s="7">
        <v>45434.0</v>
      </c>
      <c r="E1308" s="7">
        <v>45799.0</v>
      </c>
      <c r="F1308" s="7">
        <v>45799.0</v>
      </c>
    </row>
    <row r="1309">
      <c r="A1309" s="4" t="s">
        <v>2619</v>
      </c>
      <c r="B1309" s="5" t="s">
        <v>2620</v>
      </c>
      <c r="C1309" s="6"/>
      <c r="D1309" s="7">
        <v>45434.0</v>
      </c>
      <c r="E1309" s="7">
        <v>45798.0</v>
      </c>
      <c r="F1309" s="7">
        <v>45798.0</v>
      </c>
    </row>
    <row r="1310">
      <c r="A1310" s="4" t="s">
        <v>2621</v>
      </c>
      <c r="B1310" s="5" t="s">
        <v>2622</v>
      </c>
      <c r="C1310" s="6"/>
      <c r="D1310" s="7">
        <v>45434.0</v>
      </c>
      <c r="E1310" s="7">
        <v>45790.0</v>
      </c>
      <c r="F1310" s="7">
        <v>45790.0</v>
      </c>
    </row>
    <row r="1311">
      <c r="A1311" s="4" t="s">
        <v>2623</v>
      </c>
      <c r="B1311" s="5" t="s">
        <v>2624</v>
      </c>
      <c r="C1311" s="6"/>
      <c r="D1311" s="7">
        <v>45434.0</v>
      </c>
      <c r="E1311" s="7">
        <v>45799.0</v>
      </c>
      <c r="F1311" s="7">
        <v>45799.0</v>
      </c>
    </row>
    <row r="1312">
      <c r="A1312" s="4" t="s">
        <v>2625</v>
      </c>
      <c r="B1312" s="5" t="s">
        <v>2626</v>
      </c>
      <c r="C1312" s="6"/>
      <c r="D1312" s="7">
        <v>45434.0</v>
      </c>
      <c r="E1312" s="7">
        <v>45799.0</v>
      </c>
      <c r="F1312" s="7">
        <v>45799.0</v>
      </c>
    </row>
    <row r="1313">
      <c r="A1313" s="4" t="s">
        <v>2627</v>
      </c>
      <c r="B1313" s="5" t="s">
        <v>2628</v>
      </c>
      <c r="C1313" s="6"/>
      <c r="D1313" s="7">
        <v>45434.0</v>
      </c>
      <c r="E1313" s="7">
        <v>45798.0</v>
      </c>
      <c r="F1313" s="7">
        <v>45798.0</v>
      </c>
    </row>
    <row r="1314">
      <c r="A1314" s="4" t="s">
        <v>2629</v>
      </c>
      <c r="B1314" s="5" t="s">
        <v>2630</v>
      </c>
      <c r="C1314" s="6"/>
      <c r="D1314" s="7">
        <v>45434.0</v>
      </c>
      <c r="E1314" s="7">
        <v>45799.0</v>
      </c>
      <c r="F1314" s="7">
        <v>45799.0</v>
      </c>
    </row>
    <row r="1315">
      <c r="A1315" s="4" t="s">
        <v>2631</v>
      </c>
      <c r="B1315" s="5" t="s">
        <v>2632</v>
      </c>
      <c r="C1315" s="6"/>
      <c r="D1315" s="7">
        <v>45434.0</v>
      </c>
      <c r="E1315" s="7">
        <v>45799.0</v>
      </c>
      <c r="F1315" s="7">
        <v>45799.0</v>
      </c>
    </row>
    <row r="1316">
      <c r="A1316" s="4" t="s">
        <v>2633</v>
      </c>
      <c r="B1316" s="5" t="s">
        <v>2634</v>
      </c>
      <c r="C1316" s="6"/>
      <c r="D1316" s="7">
        <v>45434.0</v>
      </c>
      <c r="E1316" s="7">
        <v>45799.0</v>
      </c>
      <c r="F1316" s="7">
        <v>45799.0</v>
      </c>
    </row>
    <row r="1317">
      <c r="A1317" s="4" t="s">
        <v>2635</v>
      </c>
      <c r="B1317" s="5" t="s">
        <v>2636</v>
      </c>
      <c r="C1317" s="6"/>
      <c r="D1317" s="7">
        <v>45434.0</v>
      </c>
      <c r="E1317" s="7">
        <v>45435.0</v>
      </c>
      <c r="F1317" s="7">
        <v>45435.0</v>
      </c>
    </row>
    <row r="1318">
      <c r="A1318" s="4" t="s">
        <v>2637</v>
      </c>
      <c r="B1318" s="5" t="s">
        <v>2638</v>
      </c>
      <c r="C1318" s="6"/>
      <c r="D1318" s="7">
        <v>45434.0</v>
      </c>
      <c r="E1318" s="7">
        <v>45798.0</v>
      </c>
      <c r="F1318" s="7">
        <v>45798.0</v>
      </c>
    </row>
    <row r="1319">
      <c r="A1319" s="4" t="s">
        <v>2639</v>
      </c>
      <c r="B1319" s="5" t="s">
        <v>2640</v>
      </c>
      <c r="C1319" s="6"/>
      <c r="D1319" s="7">
        <v>45434.0</v>
      </c>
      <c r="E1319" s="7">
        <v>45799.0</v>
      </c>
      <c r="F1319" s="7">
        <v>45799.0</v>
      </c>
    </row>
    <row r="1320">
      <c r="A1320" s="4" t="s">
        <v>2641</v>
      </c>
      <c r="B1320" s="5" t="s">
        <v>2642</v>
      </c>
      <c r="C1320" s="6"/>
      <c r="D1320" s="7">
        <v>45434.0</v>
      </c>
      <c r="E1320" s="7">
        <v>45799.0</v>
      </c>
      <c r="F1320" s="7">
        <v>45799.0</v>
      </c>
    </row>
    <row r="1321">
      <c r="A1321" s="4" t="s">
        <v>2643</v>
      </c>
      <c r="B1321" s="5" t="s">
        <v>2644</v>
      </c>
      <c r="C1321" s="6"/>
      <c r="D1321" s="7">
        <v>45434.0</v>
      </c>
      <c r="E1321" s="7">
        <v>45819.0</v>
      </c>
      <c r="F1321" s="7">
        <v>45819.0</v>
      </c>
    </row>
    <row r="1322">
      <c r="A1322" s="4" t="s">
        <v>2645</v>
      </c>
      <c r="B1322" s="5" t="s">
        <v>2646</v>
      </c>
      <c r="C1322" s="6"/>
      <c r="D1322" s="7">
        <v>45434.0</v>
      </c>
      <c r="E1322" s="7">
        <v>45435.0</v>
      </c>
      <c r="F1322" s="7">
        <v>45435.0</v>
      </c>
    </row>
    <row r="1323">
      <c r="A1323" s="4" t="s">
        <v>2647</v>
      </c>
      <c r="B1323" s="5" t="s">
        <v>2648</v>
      </c>
      <c r="C1323" s="6"/>
      <c r="D1323" s="7">
        <v>45434.0</v>
      </c>
      <c r="E1323" s="7">
        <v>45799.0</v>
      </c>
      <c r="F1323" s="7">
        <v>45799.0</v>
      </c>
    </row>
    <row r="1324">
      <c r="A1324" s="4" t="s">
        <v>2649</v>
      </c>
      <c r="B1324" s="5" t="s">
        <v>2650</v>
      </c>
      <c r="C1324" s="6"/>
      <c r="D1324" s="7">
        <v>45434.0</v>
      </c>
      <c r="E1324" s="7">
        <v>45799.0</v>
      </c>
      <c r="F1324" s="7">
        <v>45799.0</v>
      </c>
    </row>
    <row r="1325">
      <c r="A1325" s="4" t="s">
        <v>2651</v>
      </c>
      <c r="B1325" s="5" t="s">
        <v>2652</v>
      </c>
      <c r="C1325" s="6"/>
      <c r="D1325" s="7">
        <v>45435.0</v>
      </c>
      <c r="E1325" s="7">
        <v>45797.0</v>
      </c>
      <c r="F1325" s="7">
        <v>45797.0</v>
      </c>
    </row>
    <row r="1326">
      <c r="A1326" s="4" t="s">
        <v>2653</v>
      </c>
      <c r="B1326" s="5" t="s">
        <v>2654</v>
      </c>
      <c r="C1326" s="6"/>
      <c r="D1326" s="7">
        <v>45435.0</v>
      </c>
      <c r="E1326" s="7">
        <v>45785.0</v>
      </c>
      <c r="F1326" s="7">
        <v>45785.0</v>
      </c>
    </row>
    <row r="1327">
      <c r="A1327" s="4" t="s">
        <v>2655</v>
      </c>
      <c r="B1327" s="5" t="s">
        <v>2656</v>
      </c>
      <c r="C1327" s="6"/>
      <c r="D1327" s="7">
        <v>45435.0</v>
      </c>
      <c r="E1327" s="7">
        <v>45799.0</v>
      </c>
      <c r="F1327" s="7">
        <v>45799.0</v>
      </c>
    </row>
    <row r="1328">
      <c r="A1328" s="4" t="s">
        <v>2657</v>
      </c>
      <c r="B1328" s="5" t="s">
        <v>2658</v>
      </c>
      <c r="C1328" s="6"/>
      <c r="D1328" s="7">
        <v>45435.0</v>
      </c>
      <c r="E1328" s="7">
        <v>45806.0</v>
      </c>
      <c r="F1328" s="7">
        <v>45806.0</v>
      </c>
    </row>
    <row r="1329">
      <c r="A1329" s="4" t="s">
        <v>2659</v>
      </c>
      <c r="B1329" s="5" t="s">
        <v>2660</v>
      </c>
      <c r="C1329" s="6"/>
      <c r="D1329" s="7">
        <v>45435.0</v>
      </c>
      <c r="E1329" s="7">
        <v>45799.0</v>
      </c>
      <c r="F1329" s="7">
        <v>45799.0</v>
      </c>
    </row>
    <row r="1330">
      <c r="A1330" s="4" t="s">
        <v>2661</v>
      </c>
      <c r="B1330" s="5" t="s">
        <v>2662</v>
      </c>
      <c r="C1330" s="6"/>
      <c r="D1330" s="7">
        <v>45435.0</v>
      </c>
      <c r="E1330" s="7">
        <v>45813.0</v>
      </c>
      <c r="F1330" s="7">
        <v>45813.0</v>
      </c>
    </row>
    <row r="1331">
      <c r="A1331" s="4" t="s">
        <v>2663</v>
      </c>
      <c r="B1331" s="5" t="s">
        <v>2664</v>
      </c>
      <c r="C1331" s="6"/>
      <c r="D1331" s="7">
        <v>45435.0</v>
      </c>
      <c r="E1331" s="7">
        <v>45806.0</v>
      </c>
      <c r="F1331" s="7">
        <v>45806.0</v>
      </c>
    </row>
    <row r="1332">
      <c r="A1332" s="4" t="s">
        <v>2665</v>
      </c>
      <c r="B1332" s="5" t="s">
        <v>2666</v>
      </c>
      <c r="C1332" s="6"/>
      <c r="D1332" s="7">
        <v>45435.0</v>
      </c>
      <c r="E1332" s="7">
        <v>45799.0</v>
      </c>
      <c r="F1332" s="7">
        <v>45799.0</v>
      </c>
    </row>
    <row r="1333">
      <c r="A1333" s="4" t="s">
        <v>2667</v>
      </c>
      <c r="B1333" s="5" t="s">
        <v>2668</v>
      </c>
      <c r="C1333" s="6"/>
      <c r="D1333" s="7">
        <v>45435.0</v>
      </c>
      <c r="E1333" s="7">
        <v>45435.0</v>
      </c>
      <c r="F1333" s="7">
        <v>45435.0</v>
      </c>
    </row>
    <row r="1334">
      <c r="A1334" s="4" t="s">
        <v>2669</v>
      </c>
      <c r="B1334" s="5" t="s">
        <v>2670</v>
      </c>
      <c r="C1334" s="6"/>
      <c r="D1334" s="7">
        <v>45435.0</v>
      </c>
      <c r="E1334" s="7">
        <v>45799.0</v>
      </c>
      <c r="F1334" s="7">
        <v>45799.0</v>
      </c>
    </row>
    <row r="1335">
      <c r="A1335" s="4" t="s">
        <v>2671</v>
      </c>
      <c r="B1335" s="5" t="s">
        <v>2672</v>
      </c>
      <c r="C1335" s="6"/>
      <c r="D1335" s="7">
        <v>45435.0</v>
      </c>
      <c r="E1335" s="7">
        <v>45799.0</v>
      </c>
      <c r="F1335" s="7">
        <v>45799.0</v>
      </c>
    </row>
    <row r="1336">
      <c r="A1336" s="4" t="s">
        <v>2673</v>
      </c>
      <c r="B1336" s="5" t="s">
        <v>2674</v>
      </c>
      <c r="C1336" s="6"/>
      <c r="D1336" s="7">
        <v>45435.0</v>
      </c>
      <c r="E1336" s="7">
        <v>45799.0</v>
      </c>
      <c r="F1336" s="7">
        <v>45799.0</v>
      </c>
    </row>
    <row r="1337">
      <c r="A1337" s="4" t="s">
        <v>2675</v>
      </c>
      <c r="B1337" s="5" t="s">
        <v>2676</v>
      </c>
      <c r="C1337" s="6"/>
      <c r="D1337" s="7">
        <v>45435.0</v>
      </c>
      <c r="E1337" s="7">
        <v>45797.0</v>
      </c>
      <c r="F1337" s="7">
        <v>45797.0</v>
      </c>
    </row>
    <row r="1338">
      <c r="A1338" s="4" t="s">
        <v>2677</v>
      </c>
      <c r="B1338" s="5" t="s">
        <v>2678</v>
      </c>
      <c r="C1338" s="6"/>
      <c r="D1338" s="7">
        <v>45435.0</v>
      </c>
      <c r="E1338" s="7">
        <v>45798.0</v>
      </c>
      <c r="F1338" s="7">
        <v>45798.0</v>
      </c>
    </row>
    <row r="1339">
      <c r="A1339" s="4" t="s">
        <v>2679</v>
      </c>
      <c r="B1339" s="5" t="s">
        <v>2680</v>
      </c>
      <c r="C1339" s="6"/>
      <c r="D1339" s="7">
        <v>45435.0</v>
      </c>
      <c r="E1339" s="7">
        <v>45799.0</v>
      </c>
      <c r="F1339" s="7">
        <v>45799.0</v>
      </c>
    </row>
    <row r="1340">
      <c r="A1340" s="4" t="s">
        <v>2681</v>
      </c>
      <c r="B1340" s="5" t="s">
        <v>2682</v>
      </c>
      <c r="C1340" s="6"/>
      <c r="D1340" s="7">
        <v>45435.0</v>
      </c>
      <c r="E1340" s="7">
        <v>45799.0</v>
      </c>
      <c r="F1340" s="7">
        <v>45799.0</v>
      </c>
    </row>
    <row r="1341">
      <c r="A1341" s="4" t="s">
        <v>2683</v>
      </c>
      <c r="B1341" s="5" t="s">
        <v>2684</v>
      </c>
      <c r="C1341" s="6"/>
      <c r="D1341" s="7">
        <v>45435.0</v>
      </c>
      <c r="E1341" s="7">
        <v>45810.0</v>
      </c>
      <c r="F1341" s="7">
        <v>45810.0</v>
      </c>
    </row>
    <row r="1342">
      <c r="A1342" s="4" t="s">
        <v>2685</v>
      </c>
      <c r="B1342" s="5" t="s">
        <v>2686</v>
      </c>
      <c r="C1342" s="6"/>
      <c r="D1342" s="7">
        <v>45435.0</v>
      </c>
      <c r="E1342" s="7">
        <v>45793.0</v>
      </c>
      <c r="F1342" s="7">
        <v>45793.0</v>
      </c>
    </row>
    <row r="1343">
      <c r="A1343" s="4" t="s">
        <v>2687</v>
      </c>
      <c r="B1343" s="5" t="s">
        <v>2688</v>
      </c>
      <c r="C1343" s="6"/>
      <c r="D1343" s="7">
        <v>45435.0</v>
      </c>
      <c r="E1343" s="7">
        <v>45799.0</v>
      </c>
      <c r="F1343" s="7">
        <v>45799.0</v>
      </c>
    </row>
    <row r="1344">
      <c r="A1344" s="4" t="s">
        <v>2689</v>
      </c>
      <c r="B1344" s="5" t="s">
        <v>2690</v>
      </c>
      <c r="C1344" s="6"/>
      <c r="D1344" s="7">
        <v>45435.0</v>
      </c>
      <c r="E1344" s="7">
        <v>45799.0</v>
      </c>
      <c r="F1344" s="7">
        <v>45799.0</v>
      </c>
    </row>
    <row r="1345">
      <c r="A1345" s="4" t="s">
        <v>2691</v>
      </c>
      <c r="B1345" s="5" t="s">
        <v>2692</v>
      </c>
      <c r="C1345" s="6"/>
      <c r="D1345" s="7">
        <v>45435.0</v>
      </c>
      <c r="E1345" s="7">
        <v>45799.0</v>
      </c>
      <c r="F1345" s="7">
        <v>45799.0</v>
      </c>
    </row>
    <row r="1346">
      <c r="A1346" s="4" t="s">
        <v>2693</v>
      </c>
      <c r="B1346" s="5" t="s">
        <v>2694</v>
      </c>
      <c r="C1346" s="6"/>
      <c r="D1346" s="7">
        <v>45435.0</v>
      </c>
      <c r="E1346" s="7">
        <v>45799.0</v>
      </c>
      <c r="F1346" s="7">
        <v>45799.0</v>
      </c>
    </row>
    <row r="1347">
      <c r="A1347" s="4" t="s">
        <v>2695</v>
      </c>
      <c r="B1347" s="5" t="s">
        <v>2696</v>
      </c>
      <c r="C1347" s="6"/>
      <c r="D1347" s="7">
        <v>45435.0</v>
      </c>
      <c r="E1347" s="7">
        <v>45799.0</v>
      </c>
      <c r="F1347" s="7">
        <v>45799.0</v>
      </c>
    </row>
    <row r="1348">
      <c r="A1348" s="4" t="s">
        <v>2697</v>
      </c>
      <c r="B1348" s="5" t="s">
        <v>2698</v>
      </c>
      <c r="C1348" s="6"/>
      <c r="D1348" s="7">
        <v>45435.0</v>
      </c>
      <c r="E1348" s="7">
        <v>45799.0</v>
      </c>
      <c r="F1348" s="7">
        <v>45799.0</v>
      </c>
    </row>
    <row r="1349">
      <c r="A1349" s="4" t="s">
        <v>2699</v>
      </c>
      <c r="B1349" s="5" t="s">
        <v>2700</v>
      </c>
      <c r="C1349" s="6"/>
      <c r="D1349" s="7">
        <v>45435.0</v>
      </c>
      <c r="E1349" s="7">
        <v>45435.0</v>
      </c>
      <c r="F1349" s="7">
        <v>45435.0</v>
      </c>
    </row>
    <row r="1350">
      <c r="A1350" s="4" t="s">
        <v>2701</v>
      </c>
      <c r="B1350" s="5" t="s">
        <v>2702</v>
      </c>
      <c r="C1350" s="6"/>
      <c r="D1350" s="7">
        <v>45435.0</v>
      </c>
      <c r="E1350" s="7">
        <v>45799.0</v>
      </c>
      <c r="F1350" s="7">
        <v>45799.0</v>
      </c>
    </row>
    <row r="1351">
      <c r="A1351" s="4" t="s">
        <v>2703</v>
      </c>
      <c r="B1351" s="5" t="s">
        <v>2704</v>
      </c>
      <c r="C1351" s="6"/>
      <c r="D1351" s="7">
        <v>45435.0</v>
      </c>
      <c r="E1351" s="7">
        <v>45799.0</v>
      </c>
      <c r="F1351" s="7">
        <v>45799.0</v>
      </c>
    </row>
    <row r="1352">
      <c r="A1352" s="4" t="s">
        <v>2705</v>
      </c>
      <c r="B1352" s="5" t="s">
        <v>2706</v>
      </c>
      <c r="C1352" s="6"/>
      <c r="D1352" s="7">
        <v>45435.0</v>
      </c>
      <c r="E1352" s="7">
        <v>45799.0</v>
      </c>
      <c r="F1352" s="7">
        <v>45799.0</v>
      </c>
    </row>
    <row r="1353">
      <c r="A1353" s="4" t="s">
        <v>2707</v>
      </c>
      <c r="B1353" s="5" t="s">
        <v>2708</v>
      </c>
      <c r="C1353" s="6"/>
      <c r="D1353" s="7">
        <v>45435.0</v>
      </c>
      <c r="E1353" s="7">
        <v>45799.0</v>
      </c>
      <c r="F1353" s="7">
        <v>45799.0</v>
      </c>
    </row>
    <row r="1354">
      <c r="A1354" s="4" t="s">
        <v>2709</v>
      </c>
      <c r="B1354" s="5" t="s">
        <v>2710</v>
      </c>
      <c r="C1354" s="6"/>
      <c r="D1354" s="7">
        <v>45435.0</v>
      </c>
      <c r="E1354" s="7">
        <v>45799.0</v>
      </c>
      <c r="F1354" s="7">
        <v>45799.0</v>
      </c>
    </row>
    <row r="1355">
      <c r="A1355" s="4" t="s">
        <v>2711</v>
      </c>
      <c r="B1355" s="5" t="s">
        <v>2712</v>
      </c>
      <c r="C1355" s="6"/>
      <c r="D1355" s="7">
        <v>45435.0</v>
      </c>
      <c r="E1355" s="7">
        <v>45799.0</v>
      </c>
      <c r="F1355" s="7">
        <v>45799.0</v>
      </c>
    </row>
    <row r="1356">
      <c r="A1356" s="4" t="s">
        <v>2713</v>
      </c>
      <c r="B1356" s="5" t="s">
        <v>2714</v>
      </c>
      <c r="C1356" s="6"/>
      <c r="D1356" s="7">
        <v>45435.0</v>
      </c>
      <c r="E1356" s="7">
        <v>45792.0</v>
      </c>
      <c r="F1356" s="7">
        <v>45792.0</v>
      </c>
    </row>
    <row r="1357">
      <c r="A1357" s="4" t="s">
        <v>2715</v>
      </c>
      <c r="B1357" s="5" t="s">
        <v>2716</v>
      </c>
      <c r="C1357" s="6"/>
      <c r="D1357" s="7">
        <v>45435.0</v>
      </c>
      <c r="E1357" s="7">
        <v>45784.0</v>
      </c>
      <c r="F1357" s="7">
        <v>45784.0</v>
      </c>
    </row>
    <row r="1358">
      <c r="A1358" s="4" t="s">
        <v>2717</v>
      </c>
      <c r="B1358" s="5" t="s">
        <v>2718</v>
      </c>
      <c r="C1358" s="6"/>
      <c r="D1358" s="7">
        <v>45435.0</v>
      </c>
      <c r="E1358" s="7">
        <v>45797.0</v>
      </c>
      <c r="F1358" s="7">
        <v>45797.0</v>
      </c>
    </row>
    <row r="1359">
      <c r="A1359" s="4" t="s">
        <v>2719</v>
      </c>
      <c r="B1359" s="5" t="s">
        <v>2720</v>
      </c>
      <c r="C1359" s="6"/>
      <c r="D1359" s="7">
        <v>45435.0</v>
      </c>
      <c r="E1359" s="7">
        <v>45806.0</v>
      </c>
      <c r="F1359" s="7">
        <v>45806.0</v>
      </c>
    </row>
    <row r="1360">
      <c r="A1360" s="4" t="s">
        <v>2721</v>
      </c>
      <c r="B1360" s="5" t="s">
        <v>2722</v>
      </c>
      <c r="C1360" s="6"/>
      <c r="D1360" s="7">
        <v>45435.0</v>
      </c>
      <c r="E1360" s="7">
        <v>45799.0</v>
      </c>
      <c r="F1360" s="7">
        <v>45799.0</v>
      </c>
    </row>
    <row r="1361">
      <c r="A1361" s="4" t="s">
        <v>2723</v>
      </c>
      <c r="B1361" s="5" t="s">
        <v>2724</v>
      </c>
      <c r="C1361" s="6"/>
      <c r="D1361" s="7">
        <v>45435.0</v>
      </c>
      <c r="E1361" s="7">
        <v>45806.0</v>
      </c>
      <c r="F1361" s="7">
        <v>45806.0</v>
      </c>
    </row>
    <row r="1362">
      <c r="A1362" s="4" t="s">
        <v>2725</v>
      </c>
      <c r="B1362" s="5" t="s">
        <v>2726</v>
      </c>
      <c r="C1362" s="6"/>
      <c r="D1362" s="7">
        <v>45435.0</v>
      </c>
      <c r="E1362" s="7">
        <v>45799.0</v>
      </c>
      <c r="F1362" s="7">
        <v>45799.0</v>
      </c>
    </row>
    <row r="1363">
      <c r="A1363" s="4" t="s">
        <v>2727</v>
      </c>
      <c r="B1363" s="5" t="s">
        <v>2728</v>
      </c>
      <c r="C1363" s="6"/>
      <c r="D1363" s="7">
        <v>45435.0</v>
      </c>
      <c r="E1363" s="7">
        <v>45799.0</v>
      </c>
      <c r="F1363" s="7">
        <v>45799.0</v>
      </c>
    </row>
    <row r="1364">
      <c r="A1364" s="4" t="s">
        <v>2729</v>
      </c>
      <c r="B1364" s="5" t="s">
        <v>2730</v>
      </c>
      <c r="C1364" s="6"/>
      <c r="D1364" s="7">
        <v>45435.0</v>
      </c>
      <c r="E1364" s="7">
        <v>45799.0</v>
      </c>
      <c r="F1364" s="7">
        <v>45799.0</v>
      </c>
    </row>
    <row r="1365">
      <c r="A1365" s="4" t="s">
        <v>2731</v>
      </c>
      <c r="B1365" s="5" t="s">
        <v>2732</v>
      </c>
      <c r="C1365" s="6"/>
      <c r="D1365" s="7">
        <v>45435.0</v>
      </c>
      <c r="E1365" s="7">
        <v>45799.0</v>
      </c>
      <c r="F1365" s="7">
        <v>45799.0</v>
      </c>
    </row>
    <row r="1366">
      <c r="A1366" s="4" t="s">
        <v>2733</v>
      </c>
      <c r="B1366" s="5" t="s">
        <v>2734</v>
      </c>
      <c r="C1366" s="6"/>
      <c r="D1366" s="7">
        <v>45435.0</v>
      </c>
      <c r="E1366" s="7">
        <v>45797.0</v>
      </c>
      <c r="F1366" s="7">
        <v>45797.0</v>
      </c>
    </row>
    <row r="1367">
      <c r="A1367" s="4" t="s">
        <v>2735</v>
      </c>
      <c r="B1367" s="5" t="s">
        <v>2736</v>
      </c>
      <c r="C1367" s="6"/>
      <c r="D1367" s="7">
        <v>45435.0</v>
      </c>
      <c r="E1367" s="7">
        <v>45799.0</v>
      </c>
      <c r="F1367" s="7">
        <v>45799.0</v>
      </c>
    </row>
    <row r="1368">
      <c r="A1368" s="4" t="s">
        <v>2737</v>
      </c>
      <c r="B1368" s="5" t="s">
        <v>2738</v>
      </c>
      <c r="C1368" s="6"/>
      <c r="D1368" s="7">
        <v>45435.0</v>
      </c>
      <c r="E1368" s="7">
        <v>45792.0</v>
      </c>
      <c r="F1368" s="7">
        <v>45792.0</v>
      </c>
    </row>
    <row r="1369">
      <c r="A1369" s="4" t="s">
        <v>2739</v>
      </c>
      <c r="B1369" s="5" t="s">
        <v>2740</v>
      </c>
      <c r="C1369" s="6"/>
      <c r="D1369" s="7">
        <v>45435.0</v>
      </c>
      <c r="E1369" s="7">
        <v>45799.0</v>
      </c>
      <c r="F1369" s="7">
        <v>45799.0</v>
      </c>
    </row>
    <row r="1370">
      <c r="A1370" s="4" t="s">
        <v>2741</v>
      </c>
      <c r="B1370" s="5" t="s">
        <v>2742</v>
      </c>
      <c r="C1370" s="6"/>
      <c r="D1370" s="7">
        <v>45435.0</v>
      </c>
      <c r="E1370" s="7">
        <v>45797.0</v>
      </c>
      <c r="F1370" s="7">
        <v>45797.0</v>
      </c>
    </row>
    <row r="1371">
      <c r="A1371" s="4" t="s">
        <v>2743</v>
      </c>
      <c r="B1371" s="5" t="s">
        <v>2744</v>
      </c>
      <c r="C1371" s="6"/>
      <c r="D1371" s="7">
        <v>45435.0</v>
      </c>
      <c r="E1371" s="7">
        <v>45799.0</v>
      </c>
      <c r="F1371" s="7">
        <v>45799.0</v>
      </c>
    </row>
    <row r="1372">
      <c r="A1372" s="4" t="s">
        <v>2745</v>
      </c>
      <c r="B1372" s="5" t="s">
        <v>2746</v>
      </c>
      <c r="C1372" s="6"/>
      <c r="D1372" s="7">
        <v>45435.0</v>
      </c>
      <c r="E1372" s="7">
        <v>45793.0</v>
      </c>
      <c r="F1372" s="7">
        <v>45793.0</v>
      </c>
    </row>
    <row r="1373">
      <c r="A1373" s="4" t="s">
        <v>2747</v>
      </c>
      <c r="B1373" s="5" t="s">
        <v>2748</v>
      </c>
      <c r="C1373" s="6"/>
      <c r="D1373" s="7">
        <v>45435.0</v>
      </c>
      <c r="E1373" s="7">
        <v>45792.0</v>
      </c>
      <c r="F1373" s="7">
        <v>45792.0</v>
      </c>
    </row>
    <row r="1374">
      <c r="A1374" s="4" t="s">
        <v>2749</v>
      </c>
      <c r="B1374" s="5" t="s">
        <v>2750</v>
      </c>
      <c r="C1374" s="6"/>
      <c r="D1374" s="7">
        <v>45435.0</v>
      </c>
      <c r="E1374" s="7">
        <v>45799.0</v>
      </c>
      <c r="F1374" s="7">
        <v>45799.0</v>
      </c>
    </row>
    <row r="1375">
      <c r="A1375" s="4" t="s">
        <v>2751</v>
      </c>
      <c r="B1375" s="5" t="s">
        <v>2752</v>
      </c>
      <c r="C1375" s="6"/>
      <c r="D1375" s="7">
        <v>45435.0</v>
      </c>
      <c r="E1375" s="7">
        <v>45811.0</v>
      </c>
      <c r="F1375" s="7">
        <v>45811.0</v>
      </c>
    </row>
    <row r="1376">
      <c r="A1376" s="4" t="s">
        <v>2753</v>
      </c>
      <c r="B1376" s="5" t="s">
        <v>2754</v>
      </c>
      <c r="C1376" s="6"/>
      <c r="D1376" s="7">
        <v>45435.0</v>
      </c>
      <c r="E1376" s="7">
        <v>45797.0</v>
      </c>
      <c r="F1376" s="7">
        <v>45797.0</v>
      </c>
    </row>
    <row r="1377">
      <c r="A1377" s="4" t="s">
        <v>2755</v>
      </c>
      <c r="B1377" s="5" t="s">
        <v>2756</v>
      </c>
      <c r="C1377" s="6"/>
      <c r="D1377" s="7">
        <v>45435.0</v>
      </c>
      <c r="E1377" s="7">
        <v>45791.0</v>
      </c>
      <c r="F1377" s="7">
        <v>45791.0</v>
      </c>
    </row>
    <row r="1378">
      <c r="A1378" s="4" t="s">
        <v>2757</v>
      </c>
      <c r="B1378" s="5" t="s">
        <v>2758</v>
      </c>
      <c r="C1378" s="6"/>
      <c r="D1378" s="7">
        <v>45435.0</v>
      </c>
      <c r="E1378" s="7">
        <v>45796.0</v>
      </c>
      <c r="F1378" s="7">
        <v>45796.0</v>
      </c>
    </row>
    <row r="1379">
      <c r="A1379" s="4" t="s">
        <v>2759</v>
      </c>
      <c r="B1379" s="5" t="s">
        <v>2760</v>
      </c>
      <c r="C1379" s="6"/>
      <c r="D1379" s="7">
        <v>45435.0</v>
      </c>
      <c r="E1379" s="7">
        <v>45798.0</v>
      </c>
      <c r="F1379" s="7">
        <v>45798.0</v>
      </c>
    </row>
    <row r="1380">
      <c r="A1380" s="4" t="s">
        <v>2761</v>
      </c>
      <c r="B1380" s="5" t="s">
        <v>2762</v>
      </c>
      <c r="C1380" s="6"/>
      <c r="D1380" s="7">
        <v>45435.0</v>
      </c>
      <c r="E1380" s="7">
        <v>45797.0</v>
      </c>
      <c r="F1380" s="7">
        <v>45797.0</v>
      </c>
    </row>
    <row r="1381">
      <c r="A1381" s="4" t="s">
        <v>2763</v>
      </c>
      <c r="B1381" s="5" t="s">
        <v>2764</v>
      </c>
      <c r="C1381" s="6"/>
      <c r="D1381" s="7">
        <v>45435.0</v>
      </c>
      <c r="E1381" s="7">
        <v>45435.0</v>
      </c>
      <c r="F1381" s="7">
        <v>45435.0</v>
      </c>
    </row>
    <row r="1382">
      <c r="A1382" s="4" t="s">
        <v>2765</v>
      </c>
      <c r="B1382" s="5" t="s">
        <v>2766</v>
      </c>
      <c r="C1382" s="6"/>
      <c r="D1382" s="7">
        <v>45435.0</v>
      </c>
      <c r="E1382" s="7">
        <v>45798.0</v>
      </c>
      <c r="F1382" s="7">
        <v>45798.0</v>
      </c>
    </row>
    <row r="1383">
      <c r="A1383" s="4" t="s">
        <v>2767</v>
      </c>
      <c r="B1383" s="5" t="s">
        <v>2768</v>
      </c>
      <c r="C1383" s="6"/>
      <c r="D1383" s="7">
        <v>45435.0</v>
      </c>
      <c r="E1383" s="7">
        <v>45797.0</v>
      </c>
      <c r="F1383" s="7">
        <v>45797.0</v>
      </c>
    </row>
    <row r="1384">
      <c r="A1384" s="4" t="s">
        <v>2769</v>
      </c>
      <c r="B1384" s="5" t="s">
        <v>2770</v>
      </c>
      <c r="C1384" s="6"/>
      <c r="D1384" s="7">
        <v>45435.0</v>
      </c>
      <c r="E1384" s="7">
        <v>45798.0</v>
      </c>
      <c r="F1384" s="7">
        <v>45798.0</v>
      </c>
    </row>
    <row r="1385">
      <c r="A1385" s="4" t="s">
        <v>2771</v>
      </c>
      <c r="B1385" s="5" t="s">
        <v>2772</v>
      </c>
      <c r="C1385" s="6"/>
      <c r="D1385" s="7">
        <v>45435.0</v>
      </c>
      <c r="E1385" s="7">
        <v>45813.0</v>
      </c>
      <c r="F1385" s="7">
        <v>45813.0</v>
      </c>
    </row>
    <row r="1386">
      <c r="A1386" s="4" t="s">
        <v>2773</v>
      </c>
      <c r="B1386" s="5" t="s">
        <v>2774</v>
      </c>
      <c r="C1386" s="6"/>
      <c r="D1386" s="7">
        <v>45435.0</v>
      </c>
      <c r="E1386" s="7">
        <v>45798.0</v>
      </c>
      <c r="F1386" s="7">
        <v>45798.0</v>
      </c>
    </row>
    <row r="1387">
      <c r="A1387" s="4" t="s">
        <v>2775</v>
      </c>
      <c r="B1387" s="5" t="s">
        <v>2776</v>
      </c>
      <c r="C1387" s="6"/>
      <c r="D1387" s="7">
        <v>45435.0</v>
      </c>
      <c r="E1387" s="7">
        <v>45791.0</v>
      </c>
      <c r="F1387" s="7">
        <v>45791.0</v>
      </c>
    </row>
    <row r="1388">
      <c r="A1388" s="4" t="s">
        <v>2777</v>
      </c>
      <c r="B1388" s="5" t="s">
        <v>2778</v>
      </c>
      <c r="C1388" s="6"/>
      <c r="D1388" s="7">
        <v>45435.0</v>
      </c>
      <c r="E1388" s="7">
        <v>45798.0</v>
      </c>
      <c r="F1388" s="7">
        <v>45798.0</v>
      </c>
    </row>
    <row r="1389">
      <c r="A1389" s="4" t="s">
        <v>2779</v>
      </c>
      <c r="B1389" s="5" t="s">
        <v>2780</v>
      </c>
      <c r="C1389" s="6"/>
      <c r="D1389" s="7">
        <v>45435.0</v>
      </c>
      <c r="E1389" s="7">
        <v>45798.0</v>
      </c>
      <c r="F1389" s="7">
        <v>45798.0</v>
      </c>
    </row>
    <row r="1390">
      <c r="A1390" s="4" t="s">
        <v>2781</v>
      </c>
      <c r="B1390" s="5" t="s">
        <v>2782</v>
      </c>
      <c r="C1390" s="6"/>
      <c r="D1390" s="7">
        <v>45435.0</v>
      </c>
      <c r="E1390" s="7">
        <v>45798.0</v>
      </c>
      <c r="F1390" s="7">
        <v>45798.0</v>
      </c>
    </row>
    <row r="1391">
      <c r="A1391" s="4" t="s">
        <v>2783</v>
      </c>
      <c r="B1391" s="5" t="s">
        <v>2784</v>
      </c>
      <c r="C1391" s="6"/>
      <c r="D1391" s="7">
        <v>45435.0</v>
      </c>
      <c r="E1391" s="7">
        <v>45820.0</v>
      </c>
      <c r="F1391" s="7">
        <v>45820.0</v>
      </c>
    </row>
    <row r="1392">
      <c r="A1392" s="4" t="s">
        <v>2785</v>
      </c>
      <c r="B1392" s="5" t="s">
        <v>2786</v>
      </c>
      <c r="C1392" s="6"/>
      <c r="D1392" s="7">
        <v>45435.0</v>
      </c>
      <c r="E1392" s="7">
        <v>45798.0</v>
      </c>
      <c r="F1392" s="7">
        <v>45798.0</v>
      </c>
    </row>
    <row r="1393">
      <c r="A1393" s="4" t="s">
        <v>2787</v>
      </c>
      <c r="B1393" s="5" t="s">
        <v>2788</v>
      </c>
      <c r="C1393" s="6"/>
      <c r="D1393" s="7">
        <v>45435.0</v>
      </c>
      <c r="E1393" s="7">
        <v>45798.0</v>
      </c>
      <c r="F1393" s="7">
        <v>45798.0</v>
      </c>
    </row>
    <row r="1394">
      <c r="A1394" s="4" t="s">
        <v>2789</v>
      </c>
      <c r="B1394" s="5" t="s">
        <v>2790</v>
      </c>
      <c r="C1394" s="6"/>
      <c r="D1394" s="7">
        <v>45435.0</v>
      </c>
      <c r="E1394" s="7">
        <v>45805.0</v>
      </c>
      <c r="F1394" s="7">
        <v>45805.0</v>
      </c>
    </row>
    <row r="1395">
      <c r="A1395" s="4" t="s">
        <v>2791</v>
      </c>
      <c r="B1395" s="5" t="s">
        <v>2792</v>
      </c>
      <c r="C1395" s="6"/>
      <c r="D1395" s="7">
        <v>45435.0</v>
      </c>
      <c r="E1395" s="7">
        <v>45798.0</v>
      </c>
      <c r="F1395" s="7">
        <v>45798.0</v>
      </c>
    </row>
    <row r="1396">
      <c r="A1396" s="4" t="s">
        <v>2793</v>
      </c>
      <c r="B1396" s="5" t="s">
        <v>2794</v>
      </c>
      <c r="C1396" s="6"/>
      <c r="D1396" s="7">
        <v>45435.0</v>
      </c>
      <c r="E1396" s="7">
        <v>45798.0</v>
      </c>
      <c r="F1396" s="7">
        <v>45798.0</v>
      </c>
    </row>
    <row r="1397">
      <c r="A1397" s="4" t="s">
        <v>2795</v>
      </c>
      <c r="B1397" s="5" t="s">
        <v>2796</v>
      </c>
      <c r="C1397" s="6"/>
      <c r="D1397" s="7">
        <v>45435.0</v>
      </c>
      <c r="E1397" s="7">
        <v>45798.0</v>
      </c>
      <c r="F1397" s="7">
        <v>45798.0</v>
      </c>
    </row>
    <row r="1398">
      <c r="A1398" s="4" t="s">
        <v>2797</v>
      </c>
      <c r="B1398" s="5" t="s">
        <v>2798</v>
      </c>
      <c r="C1398" s="6"/>
      <c r="D1398" s="7">
        <v>45435.0</v>
      </c>
      <c r="E1398" s="7">
        <v>45798.0</v>
      </c>
      <c r="F1398" s="7">
        <v>45798.0</v>
      </c>
    </row>
    <row r="1399">
      <c r="A1399" s="4" t="s">
        <v>2799</v>
      </c>
      <c r="B1399" s="5" t="s">
        <v>2800</v>
      </c>
      <c r="C1399" s="6"/>
      <c r="D1399" s="7">
        <v>45435.0</v>
      </c>
      <c r="E1399" s="7">
        <v>45785.0</v>
      </c>
      <c r="F1399" s="7">
        <v>45785.0</v>
      </c>
    </row>
    <row r="1400">
      <c r="A1400" s="4" t="s">
        <v>2801</v>
      </c>
      <c r="B1400" s="5" t="s">
        <v>2802</v>
      </c>
      <c r="C1400" s="6"/>
      <c r="D1400" s="7">
        <v>45435.0</v>
      </c>
      <c r="E1400" s="7">
        <v>45798.0</v>
      </c>
      <c r="F1400" s="7">
        <v>45798.0</v>
      </c>
    </row>
    <row r="1401">
      <c r="A1401" s="4" t="s">
        <v>2803</v>
      </c>
      <c r="B1401" s="5" t="s">
        <v>2804</v>
      </c>
      <c r="C1401" s="6"/>
      <c r="D1401" s="7">
        <v>45435.0</v>
      </c>
      <c r="E1401" s="7">
        <v>45798.0</v>
      </c>
      <c r="F1401" s="7">
        <v>45798.0</v>
      </c>
    </row>
    <row r="1402">
      <c r="A1402" s="4" t="s">
        <v>2805</v>
      </c>
      <c r="B1402" s="5" t="s">
        <v>2806</v>
      </c>
      <c r="C1402" s="6"/>
      <c r="D1402" s="7">
        <v>45435.0</v>
      </c>
      <c r="E1402" s="7">
        <v>45799.0</v>
      </c>
      <c r="F1402" s="7">
        <v>45799.0</v>
      </c>
    </row>
    <row r="1403">
      <c r="A1403" s="4" t="s">
        <v>2807</v>
      </c>
      <c r="B1403" s="5" t="s">
        <v>2808</v>
      </c>
      <c r="C1403" s="6"/>
      <c r="D1403" s="7">
        <v>45435.0</v>
      </c>
      <c r="E1403" s="7">
        <v>45797.0</v>
      </c>
      <c r="F1403" s="7">
        <v>45797.0</v>
      </c>
    </row>
    <row r="1404">
      <c r="A1404" s="4" t="s">
        <v>2809</v>
      </c>
      <c r="B1404" s="5" t="s">
        <v>2810</v>
      </c>
      <c r="C1404" s="6"/>
      <c r="D1404" s="7">
        <v>45435.0</v>
      </c>
      <c r="E1404" s="7">
        <v>45798.0</v>
      </c>
      <c r="F1404" s="7">
        <v>45798.0</v>
      </c>
    </row>
    <row r="1405">
      <c r="A1405" s="4" t="s">
        <v>2811</v>
      </c>
      <c r="B1405" s="5" t="s">
        <v>2812</v>
      </c>
      <c r="C1405" s="6"/>
      <c r="D1405" s="7">
        <v>45435.0</v>
      </c>
      <c r="E1405" s="7">
        <v>45798.0</v>
      </c>
      <c r="F1405" s="7">
        <v>45798.0</v>
      </c>
    </row>
    <row r="1406">
      <c r="A1406" s="4" t="s">
        <v>2813</v>
      </c>
      <c r="B1406" s="5" t="s">
        <v>2814</v>
      </c>
      <c r="C1406" s="6"/>
      <c r="D1406" s="7">
        <v>45435.0</v>
      </c>
      <c r="E1406" s="7">
        <v>45798.0</v>
      </c>
      <c r="F1406" s="7">
        <v>45798.0</v>
      </c>
    </row>
    <row r="1407">
      <c r="A1407" s="4" t="s">
        <v>2815</v>
      </c>
      <c r="B1407" s="5" t="s">
        <v>2816</v>
      </c>
      <c r="C1407" s="6"/>
      <c r="D1407" s="7">
        <v>45435.0</v>
      </c>
      <c r="E1407" s="7">
        <v>45798.0</v>
      </c>
      <c r="F1407" s="7">
        <v>45798.0</v>
      </c>
    </row>
    <row r="1408">
      <c r="A1408" s="4" t="s">
        <v>2817</v>
      </c>
      <c r="B1408" s="5" t="s">
        <v>2818</v>
      </c>
      <c r="C1408" s="6"/>
      <c r="D1408" s="7">
        <v>45435.0</v>
      </c>
      <c r="E1408" s="7">
        <v>45798.0</v>
      </c>
      <c r="F1408" s="7">
        <v>45798.0</v>
      </c>
    </row>
    <row r="1409">
      <c r="A1409" s="4" t="s">
        <v>2819</v>
      </c>
      <c r="B1409" s="5" t="s">
        <v>2820</v>
      </c>
      <c r="C1409" s="6"/>
      <c r="D1409" s="7">
        <v>45435.0</v>
      </c>
      <c r="E1409" s="7">
        <v>45798.0</v>
      </c>
      <c r="F1409" s="7">
        <v>45798.0</v>
      </c>
    </row>
    <row r="1410">
      <c r="A1410" s="4" t="s">
        <v>2821</v>
      </c>
      <c r="B1410" s="5" t="s">
        <v>2822</v>
      </c>
      <c r="C1410" s="6"/>
      <c r="D1410" s="7">
        <v>45435.0</v>
      </c>
      <c r="E1410" s="7">
        <v>45799.0</v>
      </c>
      <c r="F1410" s="7">
        <v>45799.0</v>
      </c>
    </row>
    <row r="1411">
      <c r="A1411" s="4" t="s">
        <v>2823</v>
      </c>
      <c r="B1411" s="5" t="s">
        <v>2824</v>
      </c>
      <c r="C1411" s="6"/>
      <c r="D1411" s="7">
        <v>45435.0</v>
      </c>
      <c r="E1411" s="7">
        <v>45798.0</v>
      </c>
      <c r="F1411" s="7">
        <v>45798.0</v>
      </c>
    </row>
    <row r="1412">
      <c r="A1412" s="4" t="s">
        <v>2825</v>
      </c>
      <c r="B1412" s="5" t="s">
        <v>2826</v>
      </c>
      <c r="C1412" s="6"/>
      <c r="D1412" s="7">
        <v>45435.0</v>
      </c>
      <c r="E1412" s="7">
        <v>45797.0</v>
      </c>
      <c r="F1412" s="7">
        <v>45797.0</v>
      </c>
    </row>
    <row r="1413">
      <c r="A1413" s="4" t="s">
        <v>2827</v>
      </c>
      <c r="B1413" s="5" t="s">
        <v>2828</v>
      </c>
      <c r="C1413" s="6"/>
      <c r="D1413" s="7">
        <v>45435.0</v>
      </c>
      <c r="E1413" s="7">
        <v>45798.0</v>
      </c>
      <c r="F1413" s="7">
        <v>45798.0</v>
      </c>
    </row>
    <row r="1414">
      <c r="A1414" s="4" t="s">
        <v>2829</v>
      </c>
      <c r="B1414" s="5" t="s">
        <v>2830</v>
      </c>
      <c r="C1414" s="6"/>
      <c r="D1414" s="7">
        <v>45435.0</v>
      </c>
      <c r="E1414" s="7">
        <v>45798.0</v>
      </c>
      <c r="F1414" s="7">
        <v>45798.0</v>
      </c>
    </row>
    <row r="1415">
      <c r="A1415" s="4" t="s">
        <v>2831</v>
      </c>
      <c r="B1415" s="5" t="s">
        <v>2832</v>
      </c>
      <c r="C1415" s="6"/>
      <c r="D1415" s="7">
        <v>45435.0</v>
      </c>
      <c r="E1415" s="7">
        <v>45798.0</v>
      </c>
      <c r="F1415" s="7">
        <v>45798.0</v>
      </c>
    </row>
    <row r="1416">
      <c r="A1416" s="4" t="s">
        <v>2833</v>
      </c>
      <c r="B1416" s="5" t="s">
        <v>2834</v>
      </c>
      <c r="C1416" s="6"/>
      <c r="D1416" s="7">
        <v>45435.0</v>
      </c>
      <c r="E1416" s="7">
        <v>45797.0</v>
      </c>
      <c r="F1416" s="7">
        <v>45797.0</v>
      </c>
    </row>
    <row r="1417">
      <c r="A1417" s="4" t="s">
        <v>2835</v>
      </c>
      <c r="B1417" s="5" t="s">
        <v>2836</v>
      </c>
      <c r="C1417" s="6"/>
      <c r="D1417" s="7">
        <v>45435.0</v>
      </c>
      <c r="E1417" s="7">
        <v>45799.0</v>
      </c>
      <c r="F1417" s="7">
        <v>45799.0</v>
      </c>
    </row>
    <row r="1418">
      <c r="A1418" s="4" t="s">
        <v>2837</v>
      </c>
      <c r="B1418" s="5" t="s">
        <v>2838</v>
      </c>
      <c r="C1418" s="6"/>
      <c r="D1418" s="7">
        <v>45435.0</v>
      </c>
      <c r="E1418" s="7">
        <v>45791.0</v>
      </c>
      <c r="F1418" s="7">
        <v>45791.0</v>
      </c>
    </row>
    <row r="1419">
      <c r="A1419" s="4" t="s">
        <v>2839</v>
      </c>
      <c r="B1419" s="5" t="s">
        <v>2840</v>
      </c>
      <c r="C1419" s="6"/>
      <c r="D1419" s="7">
        <v>45435.0</v>
      </c>
      <c r="E1419" s="7">
        <v>45798.0</v>
      </c>
      <c r="F1419" s="7">
        <v>45798.0</v>
      </c>
    </row>
    <row r="1420">
      <c r="A1420" s="4" t="s">
        <v>2841</v>
      </c>
      <c r="B1420" s="5" t="s">
        <v>2842</v>
      </c>
      <c r="C1420" s="6"/>
      <c r="D1420" s="7">
        <v>45435.0</v>
      </c>
      <c r="E1420" s="7">
        <v>45791.0</v>
      </c>
      <c r="F1420" s="7">
        <v>45791.0</v>
      </c>
    </row>
    <row r="1421">
      <c r="A1421" s="4" t="s">
        <v>2843</v>
      </c>
      <c r="B1421" s="5" t="s">
        <v>2844</v>
      </c>
      <c r="C1421" s="6"/>
      <c r="D1421" s="7">
        <v>45435.0</v>
      </c>
      <c r="E1421" s="7">
        <v>45798.0</v>
      </c>
      <c r="F1421" s="7">
        <v>45798.0</v>
      </c>
    </row>
    <row r="1422">
      <c r="A1422" s="4" t="s">
        <v>2845</v>
      </c>
      <c r="B1422" s="5" t="s">
        <v>2846</v>
      </c>
      <c r="C1422" s="6"/>
      <c r="D1422" s="7">
        <v>45435.0</v>
      </c>
      <c r="E1422" s="7">
        <v>45797.0</v>
      </c>
      <c r="F1422" s="7">
        <v>45797.0</v>
      </c>
    </row>
    <row r="1423">
      <c r="A1423" s="4" t="s">
        <v>2847</v>
      </c>
      <c r="B1423" s="5" t="s">
        <v>2848</v>
      </c>
      <c r="C1423" s="6"/>
      <c r="D1423" s="7">
        <v>45435.0</v>
      </c>
      <c r="E1423" s="7">
        <v>45798.0</v>
      </c>
      <c r="F1423" s="7">
        <v>45798.0</v>
      </c>
    </row>
    <row r="1424">
      <c r="A1424" s="4" t="s">
        <v>2849</v>
      </c>
      <c r="B1424" s="5" t="s">
        <v>2850</v>
      </c>
      <c r="C1424" s="6"/>
      <c r="D1424" s="7">
        <v>45435.0</v>
      </c>
      <c r="E1424" s="7">
        <v>45798.0</v>
      </c>
      <c r="F1424" s="7">
        <v>45798.0</v>
      </c>
    </row>
    <row r="1425">
      <c r="A1425" s="4" t="s">
        <v>2851</v>
      </c>
      <c r="B1425" s="5" t="s">
        <v>2852</v>
      </c>
      <c r="C1425" s="6"/>
      <c r="D1425" s="7">
        <v>45435.0</v>
      </c>
      <c r="E1425" s="7">
        <v>45799.0</v>
      </c>
      <c r="F1425" s="7">
        <v>45799.0</v>
      </c>
    </row>
    <row r="1426">
      <c r="A1426" s="4" t="s">
        <v>2853</v>
      </c>
      <c r="B1426" s="5" t="s">
        <v>2854</v>
      </c>
      <c r="C1426" s="6"/>
      <c r="D1426" s="7">
        <v>45435.0</v>
      </c>
      <c r="E1426" s="7">
        <v>45798.0</v>
      </c>
      <c r="F1426" s="7">
        <v>45798.0</v>
      </c>
    </row>
    <row r="1427">
      <c r="A1427" s="4" t="s">
        <v>2855</v>
      </c>
      <c r="B1427" s="5" t="s">
        <v>2856</v>
      </c>
      <c r="C1427" s="6"/>
      <c r="D1427" s="7">
        <v>45435.0</v>
      </c>
      <c r="E1427" s="7">
        <v>45434.0</v>
      </c>
      <c r="F1427" s="7">
        <v>45434.0</v>
      </c>
    </row>
    <row r="1428">
      <c r="A1428" s="4" t="s">
        <v>2857</v>
      </c>
      <c r="B1428" s="5" t="s">
        <v>2858</v>
      </c>
      <c r="C1428" s="6"/>
      <c r="D1428" s="7">
        <v>45435.0</v>
      </c>
      <c r="E1428" s="7">
        <v>45798.0</v>
      </c>
      <c r="F1428" s="7">
        <v>45798.0</v>
      </c>
    </row>
    <row r="1429">
      <c r="A1429" s="4" t="s">
        <v>2859</v>
      </c>
      <c r="B1429" s="5" t="s">
        <v>2860</v>
      </c>
      <c r="C1429" s="6"/>
      <c r="D1429" s="7">
        <v>45435.0</v>
      </c>
      <c r="E1429" s="7">
        <v>45797.0</v>
      </c>
      <c r="F1429" s="7">
        <v>45797.0</v>
      </c>
    </row>
    <row r="1430">
      <c r="A1430" s="4" t="s">
        <v>2861</v>
      </c>
      <c r="B1430" s="5" t="s">
        <v>2862</v>
      </c>
      <c r="C1430" s="6"/>
      <c r="D1430" s="7">
        <v>45435.0</v>
      </c>
      <c r="E1430" s="7">
        <v>45791.0</v>
      </c>
      <c r="F1430" s="7">
        <v>45791.0</v>
      </c>
    </row>
    <row r="1431">
      <c r="A1431" s="4" t="s">
        <v>2863</v>
      </c>
      <c r="B1431" s="5" t="s">
        <v>2864</v>
      </c>
      <c r="C1431" s="6"/>
      <c r="D1431" s="7">
        <v>45435.0</v>
      </c>
      <c r="E1431" s="7">
        <v>45434.0</v>
      </c>
      <c r="F1431" s="7">
        <v>45434.0</v>
      </c>
    </row>
    <row r="1432">
      <c r="A1432" s="4" t="s">
        <v>2865</v>
      </c>
      <c r="B1432" s="5" t="s">
        <v>2866</v>
      </c>
      <c r="C1432" s="6"/>
      <c r="D1432" s="7">
        <v>45435.0</v>
      </c>
      <c r="E1432" s="7">
        <v>45799.0</v>
      </c>
      <c r="F1432" s="7">
        <v>45799.0</v>
      </c>
    </row>
    <row r="1433">
      <c r="A1433" s="4" t="s">
        <v>2867</v>
      </c>
      <c r="B1433" s="5" t="s">
        <v>2868</v>
      </c>
      <c r="C1433" s="6"/>
      <c r="D1433" s="7">
        <v>45435.0</v>
      </c>
      <c r="E1433" s="7">
        <v>45798.0</v>
      </c>
      <c r="F1433" s="7">
        <v>45798.0</v>
      </c>
    </row>
    <row r="1434">
      <c r="A1434" s="4" t="s">
        <v>2869</v>
      </c>
      <c r="B1434" s="5" t="s">
        <v>2870</v>
      </c>
      <c r="C1434" s="6"/>
      <c r="D1434" s="7">
        <v>45435.0</v>
      </c>
      <c r="E1434" s="7">
        <v>45798.0</v>
      </c>
      <c r="F1434" s="7">
        <v>45798.0</v>
      </c>
    </row>
    <row r="1435">
      <c r="A1435" s="4" t="s">
        <v>2871</v>
      </c>
      <c r="B1435" s="5" t="s">
        <v>2872</v>
      </c>
      <c r="C1435" s="6"/>
      <c r="D1435" s="7">
        <v>45435.0</v>
      </c>
      <c r="E1435" s="7">
        <v>45798.0</v>
      </c>
      <c r="F1435" s="7">
        <v>45798.0</v>
      </c>
    </row>
    <row r="1436">
      <c r="A1436" s="4" t="s">
        <v>2873</v>
      </c>
      <c r="B1436" s="5" t="s">
        <v>2874</v>
      </c>
      <c r="C1436" s="6"/>
      <c r="D1436" s="7">
        <v>45435.0</v>
      </c>
      <c r="E1436" s="7">
        <v>45798.0</v>
      </c>
      <c r="F1436" s="7">
        <v>45798.0</v>
      </c>
    </row>
    <row r="1437">
      <c r="A1437" s="4" t="s">
        <v>2875</v>
      </c>
      <c r="B1437" s="5" t="s">
        <v>2876</v>
      </c>
      <c r="C1437" s="6"/>
      <c r="D1437" s="7">
        <v>45435.0</v>
      </c>
      <c r="E1437" s="7">
        <v>45797.0</v>
      </c>
      <c r="F1437" s="7">
        <v>45797.0</v>
      </c>
    </row>
    <row r="1438">
      <c r="A1438" s="4" t="s">
        <v>2877</v>
      </c>
      <c r="B1438" s="5" t="s">
        <v>2878</v>
      </c>
      <c r="C1438" s="6"/>
      <c r="D1438" s="7">
        <v>45435.0</v>
      </c>
      <c r="E1438" s="7">
        <v>45798.0</v>
      </c>
      <c r="F1438" s="7">
        <v>45798.0</v>
      </c>
    </row>
    <row r="1439">
      <c r="A1439" s="4" t="s">
        <v>2879</v>
      </c>
      <c r="B1439" s="5" t="s">
        <v>2880</v>
      </c>
      <c r="C1439" s="6"/>
      <c r="D1439" s="7">
        <v>45435.0</v>
      </c>
      <c r="E1439" s="7">
        <v>45807.0</v>
      </c>
      <c r="F1439" s="7">
        <v>45807.0</v>
      </c>
    </row>
    <row r="1440">
      <c r="A1440" s="4" t="s">
        <v>2881</v>
      </c>
      <c r="B1440" s="5" t="s">
        <v>2882</v>
      </c>
      <c r="C1440" s="6"/>
      <c r="D1440" s="7">
        <v>45435.0</v>
      </c>
      <c r="E1440" s="7">
        <v>45791.0</v>
      </c>
      <c r="F1440" s="7">
        <v>45791.0</v>
      </c>
    </row>
    <row r="1441">
      <c r="A1441" s="4" t="s">
        <v>2883</v>
      </c>
      <c r="B1441" s="5" t="s">
        <v>2884</v>
      </c>
      <c r="C1441" s="6"/>
      <c r="D1441" s="7">
        <v>45435.0</v>
      </c>
      <c r="E1441" s="7">
        <v>45791.0</v>
      </c>
      <c r="F1441" s="7">
        <v>45791.0</v>
      </c>
    </row>
    <row r="1442">
      <c r="A1442" s="4" t="s">
        <v>2885</v>
      </c>
      <c r="B1442" s="5" t="s">
        <v>2886</v>
      </c>
      <c r="C1442" s="6"/>
      <c r="D1442" s="7">
        <v>45435.0</v>
      </c>
      <c r="E1442" s="7">
        <v>45798.0</v>
      </c>
      <c r="F1442" s="7">
        <v>45798.0</v>
      </c>
    </row>
    <row r="1443">
      <c r="A1443" s="4" t="s">
        <v>2887</v>
      </c>
      <c r="B1443" s="5" t="s">
        <v>2888</v>
      </c>
      <c r="C1443" s="6"/>
      <c r="D1443" s="7">
        <v>45435.0</v>
      </c>
      <c r="E1443" s="7">
        <v>45799.0</v>
      </c>
      <c r="F1443" s="7">
        <v>45799.0</v>
      </c>
    </row>
    <row r="1444">
      <c r="A1444" s="4" t="s">
        <v>2889</v>
      </c>
      <c r="B1444" s="5" t="s">
        <v>2890</v>
      </c>
      <c r="C1444" s="6"/>
      <c r="D1444" s="7">
        <v>45435.0</v>
      </c>
      <c r="E1444" s="7">
        <v>45791.0</v>
      </c>
      <c r="F1444" s="7">
        <v>45791.0</v>
      </c>
    </row>
    <row r="1445">
      <c r="A1445" s="4" t="s">
        <v>2891</v>
      </c>
      <c r="B1445" s="5" t="s">
        <v>2892</v>
      </c>
      <c r="C1445" s="6"/>
      <c r="D1445" s="7">
        <v>45435.0</v>
      </c>
      <c r="E1445" s="7">
        <v>45805.0</v>
      </c>
      <c r="F1445" s="7">
        <v>45805.0</v>
      </c>
    </row>
    <row r="1446">
      <c r="A1446" s="4" t="s">
        <v>2893</v>
      </c>
      <c r="B1446" s="5" t="s">
        <v>2894</v>
      </c>
      <c r="C1446" s="6"/>
      <c r="D1446" s="7">
        <v>45435.0</v>
      </c>
      <c r="E1446" s="7">
        <v>45798.0</v>
      </c>
      <c r="F1446" s="7">
        <v>45798.0</v>
      </c>
    </row>
    <row r="1447">
      <c r="A1447" s="4" t="s">
        <v>2895</v>
      </c>
      <c r="B1447" s="5" t="s">
        <v>2896</v>
      </c>
      <c r="C1447" s="6"/>
      <c r="D1447" s="7">
        <v>45435.0</v>
      </c>
      <c r="E1447" s="7">
        <v>45434.0</v>
      </c>
      <c r="F1447" s="7">
        <v>45434.0</v>
      </c>
    </row>
    <row r="1448">
      <c r="A1448" s="4" t="s">
        <v>2897</v>
      </c>
      <c r="B1448" s="5" t="s">
        <v>2898</v>
      </c>
      <c r="C1448" s="6"/>
      <c r="D1448" s="7">
        <v>45435.0</v>
      </c>
      <c r="E1448" s="7">
        <v>45434.0</v>
      </c>
      <c r="F1448" s="7">
        <v>45434.0</v>
      </c>
    </row>
    <row r="1449">
      <c r="A1449" s="4" t="s">
        <v>2899</v>
      </c>
      <c r="B1449" s="5" t="s">
        <v>2900</v>
      </c>
      <c r="C1449" s="6"/>
      <c r="D1449" s="7">
        <v>45435.0</v>
      </c>
      <c r="E1449" s="7">
        <v>45792.0</v>
      </c>
      <c r="F1449" s="7">
        <v>45792.0</v>
      </c>
    </row>
    <row r="1450">
      <c r="A1450" s="4" t="s">
        <v>2901</v>
      </c>
      <c r="B1450" s="5" t="s">
        <v>2902</v>
      </c>
      <c r="C1450" s="6"/>
      <c r="D1450" s="7">
        <v>45435.0</v>
      </c>
      <c r="E1450" s="7">
        <v>45805.0</v>
      </c>
      <c r="F1450" s="7">
        <v>45805.0</v>
      </c>
    </row>
    <row r="1451">
      <c r="A1451" s="4" t="s">
        <v>2903</v>
      </c>
      <c r="B1451" s="5" t="s">
        <v>2904</v>
      </c>
      <c r="C1451" s="6"/>
      <c r="D1451" s="7">
        <v>45435.0</v>
      </c>
      <c r="E1451" s="7">
        <v>45798.0</v>
      </c>
      <c r="F1451" s="7">
        <v>45798.0</v>
      </c>
    </row>
    <row r="1452">
      <c r="A1452" s="4" t="s">
        <v>2905</v>
      </c>
      <c r="B1452" s="5" t="s">
        <v>2906</v>
      </c>
      <c r="C1452" s="6"/>
      <c r="D1452" s="7">
        <v>45435.0</v>
      </c>
      <c r="E1452" s="7">
        <v>45806.0</v>
      </c>
      <c r="F1452" s="7">
        <v>45806.0</v>
      </c>
    </row>
    <row r="1453">
      <c r="A1453" s="4" t="s">
        <v>2907</v>
      </c>
      <c r="B1453" s="5" t="s">
        <v>2908</v>
      </c>
      <c r="C1453" s="6"/>
      <c r="D1453" s="7">
        <v>45435.0</v>
      </c>
      <c r="E1453" s="7">
        <v>45798.0</v>
      </c>
      <c r="F1453" s="7">
        <v>45798.0</v>
      </c>
    </row>
    <row r="1454">
      <c r="A1454" s="4" t="s">
        <v>2909</v>
      </c>
      <c r="B1454" s="5" t="s">
        <v>2910</v>
      </c>
      <c r="C1454" s="6"/>
      <c r="D1454" s="7">
        <v>45435.0</v>
      </c>
      <c r="E1454" s="7">
        <v>45799.0</v>
      </c>
      <c r="F1454" s="7">
        <v>45799.0</v>
      </c>
    </row>
    <row r="1455">
      <c r="A1455" s="4" t="s">
        <v>2911</v>
      </c>
      <c r="B1455" s="5" t="s">
        <v>2912</v>
      </c>
      <c r="C1455" s="6"/>
      <c r="D1455" s="7">
        <v>45435.0</v>
      </c>
      <c r="E1455" s="7">
        <v>45813.0</v>
      </c>
      <c r="F1455" s="7">
        <v>45813.0</v>
      </c>
    </row>
    <row r="1456">
      <c r="A1456" s="4" t="s">
        <v>2913</v>
      </c>
      <c r="B1456" s="5" t="s">
        <v>2914</v>
      </c>
      <c r="C1456" s="6"/>
      <c r="D1456" s="7">
        <v>45435.0</v>
      </c>
      <c r="E1456" s="7">
        <v>45805.0</v>
      </c>
      <c r="F1456" s="7">
        <v>45805.0</v>
      </c>
    </row>
    <row r="1457">
      <c r="A1457" s="4" t="s">
        <v>2915</v>
      </c>
      <c r="B1457" s="5" t="s">
        <v>2916</v>
      </c>
      <c r="C1457" s="6"/>
      <c r="D1457" s="7">
        <v>45070.0</v>
      </c>
      <c r="E1457" s="7">
        <v>45798.0</v>
      </c>
      <c r="F1457" s="7">
        <v>45798.0</v>
      </c>
    </row>
    <row r="1458">
      <c r="A1458" s="4" t="s">
        <v>2917</v>
      </c>
      <c r="B1458" s="5" t="s">
        <v>2918</v>
      </c>
      <c r="C1458" s="6"/>
      <c r="D1458" s="7">
        <v>45436.0</v>
      </c>
      <c r="E1458" s="7">
        <v>45791.0</v>
      </c>
      <c r="F1458" s="7">
        <v>45791.0</v>
      </c>
    </row>
    <row r="1459">
      <c r="A1459" s="4" t="s">
        <v>2919</v>
      </c>
      <c r="B1459" s="5" t="s">
        <v>2920</v>
      </c>
      <c r="C1459" s="6"/>
      <c r="D1459" s="7">
        <v>45436.0</v>
      </c>
      <c r="E1459" s="7">
        <v>45798.0</v>
      </c>
      <c r="F1459" s="7">
        <v>45798.0</v>
      </c>
    </row>
    <row r="1460">
      <c r="A1460" s="4" t="s">
        <v>2921</v>
      </c>
      <c r="B1460" s="5" t="s">
        <v>2922</v>
      </c>
      <c r="C1460" s="6"/>
      <c r="D1460" s="7">
        <v>45436.0</v>
      </c>
      <c r="E1460" s="7">
        <v>45798.0</v>
      </c>
      <c r="F1460" s="7">
        <v>45798.0</v>
      </c>
    </row>
    <row r="1461">
      <c r="A1461" s="4" t="s">
        <v>2923</v>
      </c>
      <c r="B1461" s="5" t="s">
        <v>2924</v>
      </c>
      <c r="C1461" s="6"/>
      <c r="D1461" s="7">
        <v>45436.0</v>
      </c>
      <c r="E1461" s="7">
        <v>45770.0</v>
      </c>
      <c r="F1461" s="7">
        <v>45770.0</v>
      </c>
    </row>
    <row r="1462">
      <c r="A1462" s="4" t="s">
        <v>2925</v>
      </c>
      <c r="B1462" s="5" t="s">
        <v>2926</v>
      </c>
      <c r="C1462" s="6"/>
      <c r="D1462" s="7">
        <v>45436.0</v>
      </c>
      <c r="E1462" s="7">
        <v>45799.0</v>
      </c>
      <c r="F1462" s="7">
        <v>45799.0</v>
      </c>
    </row>
    <row r="1463">
      <c r="A1463" s="4" t="s">
        <v>2927</v>
      </c>
      <c r="B1463" s="5" t="s">
        <v>2928</v>
      </c>
      <c r="C1463" s="6"/>
      <c r="D1463" s="7">
        <v>45436.0</v>
      </c>
      <c r="E1463" s="7">
        <v>45798.0</v>
      </c>
      <c r="F1463" s="7">
        <v>45798.0</v>
      </c>
    </row>
    <row r="1464">
      <c r="A1464" s="4" t="s">
        <v>2929</v>
      </c>
      <c r="B1464" s="5" t="s">
        <v>2930</v>
      </c>
      <c r="C1464" s="6"/>
      <c r="D1464" s="7">
        <v>45436.0</v>
      </c>
      <c r="E1464" s="7">
        <v>45798.0</v>
      </c>
      <c r="F1464" s="7">
        <v>45798.0</v>
      </c>
    </row>
    <row r="1465">
      <c r="A1465" s="4" t="s">
        <v>2931</v>
      </c>
      <c r="B1465" s="5" t="s">
        <v>2932</v>
      </c>
      <c r="C1465" s="6"/>
      <c r="D1465" s="7">
        <v>45436.0</v>
      </c>
      <c r="E1465" s="7">
        <v>45798.0</v>
      </c>
      <c r="F1465" s="7">
        <v>45798.0</v>
      </c>
    </row>
    <row r="1466">
      <c r="A1466" s="4" t="s">
        <v>2933</v>
      </c>
      <c r="B1466" s="5" t="s">
        <v>2934</v>
      </c>
      <c r="C1466" s="6"/>
      <c r="D1466" s="7">
        <v>45436.0</v>
      </c>
      <c r="E1466" s="7">
        <v>45798.0</v>
      </c>
      <c r="F1466" s="7">
        <v>45798.0</v>
      </c>
    </row>
    <row r="1467">
      <c r="A1467" s="4" t="s">
        <v>2935</v>
      </c>
      <c r="B1467" s="5" t="s">
        <v>2936</v>
      </c>
      <c r="C1467" s="6"/>
      <c r="D1467" s="7">
        <v>45436.0</v>
      </c>
      <c r="E1467" s="7">
        <v>45798.0</v>
      </c>
      <c r="F1467" s="7">
        <v>45798.0</v>
      </c>
    </row>
    <row r="1468">
      <c r="A1468" s="4" t="s">
        <v>2937</v>
      </c>
      <c r="B1468" s="5" t="s">
        <v>2938</v>
      </c>
      <c r="C1468" s="6"/>
      <c r="D1468" s="7">
        <v>45436.0</v>
      </c>
      <c r="E1468" s="7">
        <v>45805.0</v>
      </c>
      <c r="F1468" s="7">
        <v>45805.0</v>
      </c>
    </row>
    <row r="1469">
      <c r="A1469" s="4" t="s">
        <v>2939</v>
      </c>
      <c r="B1469" s="5" t="s">
        <v>2940</v>
      </c>
      <c r="C1469" s="6"/>
      <c r="D1469" s="7">
        <v>45436.0</v>
      </c>
      <c r="E1469" s="7">
        <v>45805.0</v>
      </c>
      <c r="F1469" s="7">
        <v>45805.0</v>
      </c>
    </row>
    <row r="1470">
      <c r="A1470" s="4" t="s">
        <v>2941</v>
      </c>
      <c r="B1470" s="5" t="s">
        <v>2942</v>
      </c>
      <c r="C1470" s="6"/>
      <c r="D1470" s="7">
        <v>45071.0</v>
      </c>
      <c r="E1470" s="7">
        <v>45799.0</v>
      </c>
      <c r="F1470" s="7">
        <v>45799.0</v>
      </c>
    </row>
    <row r="1471">
      <c r="A1471" s="4" t="s">
        <v>2943</v>
      </c>
      <c r="B1471" s="5" t="s">
        <v>2944</v>
      </c>
      <c r="C1471" s="6"/>
      <c r="D1471" s="7">
        <v>45440.0</v>
      </c>
      <c r="E1471" s="7">
        <v>45798.0</v>
      </c>
      <c r="F1471" s="7">
        <v>45798.0</v>
      </c>
    </row>
    <row r="1472">
      <c r="A1472" s="4" t="s">
        <v>2945</v>
      </c>
      <c r="B1472" s="5" t="s">
        <v>2946</v>
      </c>
      <c r="C1472" s="6"/>
      <c r="D1472" s="7">
        <v>45440.0</v>
      </c>
      <c r="E1472" s="7">
        <v>45805.0</v>
      </c>
      <c r="F1472" s="7">
        <v>45805.0</v>
      </c>
    </row>
    <row r="1473">
      <c r="A1473" s="4" t="s">
        <v>2947</v>
      </c>
      <c r="B1473" s="5" t="s">
        <v>2948</v>
      </c>
      <c r="C1473" s="6"/>
      <c r="D1473" s="7">
        <v>45440.0</v>
      </c>
      <c r="E1473" s="7">
        <v>45799.0</v>
      </c>
      <c r="F1473" s="7">
        <v>45799.0</v>
      </c>
    </row>
    <row r="1474">
      <c r="A1474" s="4" t="s">
        <v>2949</v>
      </c>
      <c r="B1474" s="5" t="s">
        <v>2950</v>
      </c>
      <c r="C1474" s="6"/>
      <c r="D1474" s="7">
        <v>45440.0</v>
      </c>
      <c r="E1474" s="7">
        <v>45799.0</v>
      </c>
      <c r="F1474" s="7">
        <v>45799.0</v>
      </c>
    </row>
    <row r="1475">
      <c r="A1475" s="4" t="s">
        <v>2951</v>
      </c>
      <c r="B1475" s="5" t="s">
        <v>2952</v>
      </c>
      <c r="C1475" s="6"/>
      <c r="D1475" s="7">
        <v>45440.0</v>
      </c>
      <c r="E1475" s="7">
        <v>45798.0</v>
      </c>
      <c r="F1475" s="7">
        <v>45798.0</v>
      </c>
    </row>
    <row r="1476">
      <c r="A1476" s="4" t="s">
        <v>2953</v>
      </c>
      <c r="B1476" s="5" t="s">
        <v>2954</v>
      </c>
      <c r="C1476" s="6"/>
      <c r="D1476" s="7">
        <v>45440.0</v>
      </c>
      <c r="E1476" s="7">
        <v>45798.0</v>
      </c>
      <c r="F1476" s="7">
        <v>45798.0</v>
      </c>
    </row>
    <row r="1477">
      <c r="A1477" s="4" t="s">
        <v>2955</v>
      </c>
      <c r="B1477" s="5" t="s">
        <v>2956</v>
      </c>
      <c r="C1477" s="6"/>
      <c r="D1477" s="7">
        <v>45440.0</v>
      </c>
      <c r="E1477" s="7">
        <v>45792.0</v>
      </c>
      <c r="F1477" s="7">
        <v>45792.0</v>
      </c>
    </row>
    <row r="1478">
      <c r="A1478" s="4" t="s">
        <v>2957</v>
      </c>
      <c r="B1478" s="5" t="s">
        <v>2958</v>
      </c>
      <c r="C1478" s="6"/>
      <c r="D1478" s="7">
        <v>45440.0</v>
      </c>
      <c r="E1478" s="7">
        <v>45804.0</v>
      </c>
      <c r="F1478" s="7">
        <v>45804.0</v>
      </c>
    </row>
    <row r="1479">
      <c r="A1479" s="4" t="s">
        <v>2959</v>
      </c>
      <c r="B1479" s="5" t="s">
        <v>2960</v>
      </c>
      <c r="C1479" s="6"/>
      <c r="D1479" s="7">
        <v>45440.0</v>
      </c>
      <c r="E1479" s="7">
        <v>45798.0</v>
      </c>
      <c r="F1479" s="7">
        <v>45798.0</v>
      </c>
    </row>
    <row r="1480">
      <c r="A1480" s="4" t="s">
        <v>2961</v>
      </c>
      <c r="B1480" s="5" t="s">
        <v>2962</v>
      </c>
      <c r="C1480" s="6"/>
      <c r="D1480" s="7">
        <v>45440.0</v>
      </c>
      <c r="E1480" s="7">
        <v>45434.0</v>
      </c>
      <c r="F1480" s="7">
        <v>45434.0</v>
      </c>
    </row>
    <row r="1481">
      <c r="A1481" s="4" t="s">
        <v>2963</v>
      </c>
      <c r="B1481" s="5" t="s">
        <v>2964</v>
      </c>
      <c r="C1481" s="6"/>
      <c r="D1481" s="7">
        <v>45440.0</v>
      </c>
      <c r="E1481" s="7">
        <v>45804.0</v>
      </c>
      <c r="F1481" s="7">
        <v>45804.0</v>
      </c>
    </row>
    <row r="1482">
      <c r="A1482" s="4" t="s">
        <v>2965</v>
      </c>
      <c r="B1482" s="5" t="s">
        <v>2966</v>
      </c>
      <c r="C1482" s="6"/>
      <c r="D1482" s="7">
        <v>45440.0</v>
      </c>
      <c r="E1482" s="7">
        <v>45813.0</v>
      </c>
      <c r="F1482" s="7">
        <v>45813.0</v>
      </c>
    </row>
    <row r="1483">
      <c r="A1483" s="4" t="s">
        <v>2967</v>
      </c>
      <c r="B1483" s="5" t="s">
        <v>2968</v>
      </c>
      <c r="C1483" s="6"/>
      <c r="D1483" s="7">
        <v>45440.0</v>
      </c>
      <c r="E1483" s="7">
        <v>45799.0</v>
      </c>
      <c r="F1483" s="7">
        <v>45799.0</v>
      </c>
    </row>
    <row r="1484">
      <c r="A1484" s="4" t="s">
        <v>2969</v>
      </c>
      <c r="B1484" s="5" t="s">
        <v>2970</v>
      </c>
      <c r="C1484" s="6"/>
      <c r="D1484" s="7">
        <v>45441.0</v>
      </c>
      <c r="E1484" s="7">
        <v>45797.0</v>
      </c>
      <c r="F1484" s="7">
        <v>45797.0</v>
      </c>
    </row>
    <row r="1485">
      <c r="A1485" s="4" t="s">
        <v>2971</v>
      </c>
      <c r="B1485" s="5" t="s">
        <v>2972</v>
      </c>
      <c r="C1485" s="6"/>
      <c r="D1485" s="7">
        <v>45441.0</v>
      </c>
      <c r="E1485" s="7">
        <v>45805.0</v>
      </c>
      <c r="F1485" s="7">
        <v>45805.0</v>
      </c>
    </row>
    <row r="1486">
      <c r="A1486" s="4" t="s">
        <v>2973</v>
      </c>
      <c r="B1486" s="5" t="s">
        <v>2974</v>
      </c>
      <c r="C1486" s="6"/>
      <c r="D1486" s="7">
        <v>45441.0</v>
      </c>
      <c r="E1486" s="7">
        <v>45791.0</v>
      </c>
      <c r="F1486" s="7">
        <v>45791.0</v>
      </c>
    </row>
    <row r="1487">
      <c r="A1487" s="4" t="s">
        <v>2975</v>
      </c>
      <c r="B1487" s="5" t="s">
        <v>2976</v>
      </c>
      <c r="C1487" s="6"/>
      <c r="D1487" s="7">
        <v>45441.0</v>
      </c>
      <c r="E1487" s="7">
        <v>45797.0</v>
      </c>
      <c r="F1487" s="7">
        <v>45797.0</v>
      </c>
    </row>
    <row r="1488">
      <c r="A1488" s="4" t="s">
        <v>2977</v>
      </c>
      <c r="B1488" s="5" t="s">
        <v>2978</v>
      </c>
      <c r="C1488" s="6"/>
      <c r="D1488" s="7">
        <v>45441.0</v>
      </c>
      <c r="E1488" s="7">
        <v>45797.0</v>
      </c>
      <c r="F1488" s="7">
        <v>45797.0</v>
      </c>
    </row>
    <row r="1489">
      <c r="A1489" s="4" t="s">
        <v>2979</v>
      </c>
      <c r="B1489" s="5" t="s">
        <v>2980</v>
      </c>
      <c r="C1489" s="6"/>
      <c r="D1489" s="7">
        <v>45441.0</v>
      </c>
      <c r="E1489" s="7">
        <v>45797.0</v>
      </c>
      <c r="F1489" s="7">
        <v>45797.0</v>
      </c>
    </row>
    <row r="1490">
      <c r="A1490" s="4" t="s">
        <v>2981</v>
      </c>
      <c r="B1490" s="5" t="s">
        <v>2982</v>
      </c>
      <c r="C1490" s="6"/>
      <c r="D1490" s="7">
        <v>45441.0</v>
      </c>
      <c r="E1490" s="7">
        <v>45805.0</v>
      </c>
      <c r="F1490" s="7">
        <v>45805.0</v>
      </c>
    </row>
    <row r="1491">
      <c r="A1491" s="4" t="s">
        <v>2983</v>
      </c>
      <c r="B1491" s="5" t="s">
        <v>2984</v>
      </c>
      <c r="C1491" s="6"/>
      <c r="D1491" s="7">
        <v>45441.0</v>
      </c>
      <c r="E1491" s="7">
        <v>45797.0</v>
      </c>
      <c r="F1491" s="7">
        <v>45797.0</v>
      </c>
    </row>
    <row r="1492">
      <c r="A1492" s="4" t="s">
        <v>2985</v>
      </c>
      <c r="B1492" s="5" t="s">
        <v>2986</v>
      </c>
      <c r="C1492" s="6"/>
      <c r="D1492" s="7">
        <v>45441.0</v>
      </c>
      <c r="E1492" s="7">
        <v>45799.0</v>
      </c>
      <c r="F1492" s="7">
        <v>45799.0</v>
      </c>
    </row>
    <row r="1493">
      <c r="A1493" s="4" t="s">
        <v>2987</v>
      </c>
      <c r="B1493" s="5" t="s">
        <v>2988</v>
      </c>
      <c r="C1493" s="6"/>
      <c r="D1493" s="7">
        <v>45441.0</v>
      </c>
      <c r="E1493" s="7">
        <v>45797.0</v>
      </c>
      <c r="F1493" s="7">
        <v>45797.0</v>
      </c>
    </row>
    <row r="1494">
      <c r="A1494" s="4" t="s">
        <v>2989</v>
      </c>
      <c r="B1494" s="5" t="s">
        <v>2990</v>
      </c>
      <c r="C1494" s="6"/>
      <c r="D1494" s="7">
        <v>45441.0</v>
      </c>
      <c r="E1494" s="7">
        <v>45797.0</v>
      </c>
      <c r="F1494" s="7">
        <v>45797.0</v>
      </c>
    </row>
    <row r="1495">
      <c r="A1495" s="4" t="s">
        <v>2991</v>
      </c>
      <c r="B1495" s="5" t="s">
        <v>2992</v>
      </c>
      <c r="C1495" s="6"/>
      <c r="D1495" s="7">
        <v>45441.0</v>
      </c>
      <c r="E1495" s="7">
        <v>45790.0</v>
      </c>
      <c r="F1495" s="7">
        <v>45790.0</v>
      </c>
    </row>
    <row r="1496">
      <c r="A1496" s="4" t="s">
        <v>2993</v>
      </c>
      <c r="B1496" s="5" t="s">
        <v>2994</v>
      </c>
      <c r="C1496" s="6"/>
      <c r="D1496" s="7">
        <v>45441.0</v>
      </c>
      <c r="E1496" s="7">
        <v>45790.0</v>
      </c>
      <c r="F1496" s="7">
        <v>45790.0</v>
      </c>
    </row>
    <row r="1497">
      <c r="A1497" s="4" t="s">
        <v>2995</v>
      </c>
      <c r="B1497" s="5" t="s">
        <v>2996</v>
      </c>
      <c r="C1497" s="6"/>
      <c r="D1497" s="7">
        <v>45441.0</v>
      </c>
      <c r="E1497" s="7">
        <v>45433.0</v>
      </c>
      <c r="F1497" s="7">
        <v>45433.0</v>
      </c>
    </row>
    <row r="1498">
      <c r="A1498" s="4" t="s">
        <v>2997</v>
      </c>
      <c r="B1498" s="5" t="s">
        <v>2998</v>
      </c>
      <c r="C1498" s="6"/>
      <c r="D1498" s="7">
        <v>45441.0</v>
      </c>
      <c r="E1498" s="7">
        <v>45797.0</v>
      </c>
      <c r="F1498" s="7">
        <v>45797.0</v>
      </c>
    </row>
    <row r="1499">
      <c r="A1499" s="4" t="s">
        <v>2999</v>
      </c>
      <c r="B1499" s="5" t="s">
        <v>3000</v>
      </c>
      <c r="C1499" s="6"/>
      <c r="D1499" s="7">
        <v>45441.0</v>
      </c>
      <c r="E1499" s="7">
        <v>45790.0</v>
      </c>
      <c r="F1499" s="7">
        <v>45790.0</v>
      </c>
    </row>
    <row r="1500">
      <c r="A1500" s="4" t="s">
        <v>3001</v>
      </c>
      <c r="B1500" s="5" t="s">
        <v>3002</v>
      </c>
      <c r="C1500" s="6"/>
      <c r="D1500" s="7">
        <v>45441.0</v>
      </c>
      <c r="E1500" s="7">
        <v>45785.0</v>
      </c>
      <c r="F1500" s="7">
        <v>45785.0</v>
      </c>
    </row>
    <row r="1501">
      <c r="A1501" s="4" t="s">
        <v>3003</v>
      </c>
      <c r="B1501" s="5" t="s">
        <v>3004</v>
      </c>
      <c r="C1501" s="6"/>
      <c r="D1501" s="7">
        <v>45441.0</v>
      </c>
      <c r="E1501" s="7">
        <v>45791.0</v>
      </c>
      <c r="F1501" s="7">
        <v>45791.0</v>
      </c>
    </row>
    <row r="1502">
      <c r="A1502" s="4" t="s">
        <v>3005</v>
      </c>
      <c r="B1502" s="5" t="s">
        <v>3006</v>
      </c>
      <c r="C1502" s="6"/>
      <c r="D1502" s="7">
        <v>45441.0</v>
      </c>
      <c r="E1502" s="7">
        <v>45797.0</v>
      </c>
      <c r="F1502" s="7">
        <v>45797.0</v>
      </c>
    </row>
    <row r="1503">
      <c r="A1503" s="4" t="s">
        <v>3007</v>
      </c>
      <c r="B1503" s="5" t="s">
        <v>3008</v>
      </c>
      <c r="C1503" s="6"/>
      <c r="D1503" s="7">
        <v>45441.0</v>
      </c>
      <c r="E1503" s="7">
        <v>45797.0</v>
      </c>
      <c r="F1503" s="7">
        <v>45797.0</v>
      </c>
    </row>
    <row r="1504">
      <c r="A1504" s="4" t="s">
        <v>3009</v>
      </c>
      <c r="B1504" s="5" t="s">
        <v>3010</v>
      </c>
      <c r="C1504" s="6"/>
      <c r="D1504" s="7">
        <v>45441.0</v>
      </c>
      <c r="E1504" s="7">
        <v>45790.0</v>
      </c>
      <c r="F1504" s="7">
        <v>45790.0</v>
      </c>
    </row>
    <row r="1505">
      <c r="A1505" s="4" t="s">
        <v>3011</v>
      </c>
      <c r="B1505" s="5" t="s">
        <v>3012</v>
      </c>
      <c r="C1505" s="6"/>
      <c r="D1505" s="7">
        <v>45441.0</v>
      </c>
      <c r="E1505" s="7">
        <v>45791.0</v>
      </c>
      <c r="F1505" s="7">
        <v>45791.0</v>
      </c>
    </row>
    <row r="1506">
      <c r="A1506" s="4" t="s">
        <v>3013</v>
      </c>
      <c r="B1506" s="5" t="s">
        <v>3014</v>
      </c>
      <c r="C1506" s="6"/>
      <c r="D1506" s="7">
        <v>45441.0</v>
      </c>
      <c r="E1506" s="7">
        <v>45797.0</v>
      </c>
      <c r="F1506" s="7">
        <v>45797.0</v>
      </c>
    </row>
    <row r="1507">
      <c r="A1507" s="4" t="s">
        <v>3015</v>
      </c>
      <c r="B1507" s="5" t="s">
        <v>3016</v>
      </c>
      <c r="C1507" s="6"/>
      <c r="D1507" s="7">
        <v>45441.0</v>
      </c>
      <c r="E1507" s="7">
        <v>45797.0</v>
      </c>
      <c r="F1507" s="7">
        <v>45797.0</v>
      </c>
    </row>
    <row r="1508">
      <c r="A1508" s="4" t="s">
        <v>3017</v>
      </c>
      <c r="B1508" s="5" t="s">
        <v>3018</v>
      </c>
      <c r="C1508" s="6"/>
      <c r="D1508" s="7">
        <v>45441.0</v>
      </c>
      <c r="E1508" s="7">
        <v>45818.0</v>
      </c>
      <c r="F1508" s="7">
        <v>45818.0</v>
      </c>
    </row>
    <row r="1509">
      <c r="A1509" s="4" t="s">
        <v>3019</v>
      </c>
      <c r="B1509" s="5" t="s">
        <v>3020</v>
      </c>
      <c r="C1509" s="6"/>
      <c r="D1509" s="7">
        <v>45441.0</v>
      </c>
      <c r="E1509" s="7">
        <v>45797.0</v>
      </c>
      <c r="F1509" s="7">
        <v>45797.0</v>
      </c>
    </row>
    <row r="1510">
      <c r="A1510" s="4" t="s">
        <v>3021</v>
      </c>
      <c r="B1510" s="5" t="s">
        <v>3022</v>
      </c>
      <c r="C1510" s="6"/>
      <c r="D1510" s="7">
        <v>45441.0</v>
      </c>
      <c r="E1510" s="7">
        <v>45798.0</v>
      </c>
      <c r="F1510" s="7">
        <v>45798.0</v>
      </c>
    </row>
    <row r="1511">
      <c r="A1511" s="4" t="s">
        <v>3023</v>
      </c>
      <c r="B1511" s="5" t="s">
        <v>3024</v>
      </c>
      <c r="C1511" s="6"/>
      <c r="D1511" s="7">
        <v>45441.0</v>
      </c>
      <c r="E1511" s="7">
        <v>45798.0</v>
      </c>
      <c r="F1511" s="7">
        <v>45798.0</v>
      </c>
    </row>
    <row r="1512">
      <c r="A1512" s="4" t="s">
        <v>3025</v>
      </c>
      <c r="B1512" s="5" t="s">
        <v>3026</v>
      </c>
      <c r="C1512" s="6"/>
      <c r="D1512" s="7">
        <v>45441.0</v>
      </c>
      <c r="E1512" s="7">
        <v>45797.0</v>
      </c>
      <c r="F1512" s="7">
        <v>45797.0</v>
      </c>
    </row>
    <row r="1513">
      <c r="A1513" s="4" t="s">
        <v>3027</v>
      </c>
      <c r="B1513" s="5" t="s">
        <v>3028</v>
      </c>
      <c r="C1513" s="6"/>
      <c r="D1513" s="7">
        <v>45441.0</v>
      </c>
      <c r="E1513" s="7">
        <v>45797.0</v>
      </c>
      <c r="F1513" s="7">
        <v>45797.0</v>
      </c>
    </row>
    <row r="1514">
      <c r="A1514" s="4" t="s">
        <v>3029</v>
      </c>
      <c r="B1514" s="5" t="s">
        <v>3030</v>
      </c>
      <c r="C1514" s="6"/>
      <c r="D1514" s="7">
        <v>45441.0</v>
      </c>
      <c r="E1514" s="7">
        <v>45769.0</v>
      </c>
      <c r="F1514" s="7">
        <v>45769.0</v>
      </c>
    </row>
    <row r="1515">
      <c r="A1515" s="4" t="s">
        <v>3031</v>
      </c>
      <c r="B1515" s="5" t="s">
        <v>3032</v>
      </c>
      <c r="C1515" s="6"/>
      <c r="D1515" s="7">
        <v>45441.0</v>
      </c>
      <c r="E1515" s="7">
        <v>45804.0</v>
      </c>
      <c r="F1515" s="7">
        <v>45804.0</v>
      </c>
    </row>
    <row r="1516">
      <c r="A1516" s="4" t="s">
        <v>3033</v>
      </c>
      <c r="B1516" s="5" t="s">
        <v>3034</v>
      </c>
      <c r="C1516" s="6"/>
      <c r="D1516" s="7">
        <v>45441.0</v>
      </c>
      <c r="E1516" s="7">
        <v>45804.0</v>
      </c>
      <c r="F1516" s="7">
        <v>45804.0</v>
      </c>
    </row>
    <row r="1517">
      <c r="A1517" s="4" t="s">
        <v>3035</v>
      </c>
      <c r="B1517" s="5" t="s">
        <v>3036</v>
      </c>
      <c r="C1517" s="6"/>
      <c r="D1517" s="7">
        <v>45441.0</v>
      </c>
      <c r="E1517" s="7">
        <v>45804.0</v>
      </c>
      <c r="F1517" s="7">
        <v>45804.0</v>
      </c>
    </row>
    <row r="1518">
      <c r="A1518" s="4" t="s">
        <v>3037</v>
      </c>
      <c r="B1518" s="5" t="s">
        <v>3038</v>
      </c>
      <c r="C1518" s="6"/>
      <c r="D1518" s="7">
        <v>45441.0</v>
      </c>
      <c r="E1518" s="7">
        <v>45797.0</v>
      </c>
      <c r="F1518" s="7">
        <v>45797.0</v>
      </c>
    </row>
    <row r="1519">
      <c r="A1519" s="4" t="s">
        <v>3039</v>
      </c>
      <c r="B1519" s="5" t="s">
        <v>3040</v>
      </c>
      <c r="C1519" s="6"/>
      <c r="D1519" s="7">
        <v>45441.0</v>
      </c>
      <c r="E1519" s="7">
        <v>45797.0</v>
      </c>
      <c r="F1519" s="7">
        <v>45797.0</v>
      </c>
    </row>
    <row r="1520">
      <c r="A1520" s="4" t="s">
        <v>3041</v>
      </c>
      <c r="B1520" s="5" t="s">
        <v>3042</v>
      </c>
      <c r="C1520" s="6"/>
      <c r="D1520" s="7">
        <v>45441.0</v>
      </c>
      <c r="E1520" s="7">
        <v>45798.0</v>
      </c>
      <c r="F1520" s="7">
        <v>45798.0</v>
      </c>
    </row>
    <row r="1521">
      <c r="A1521" s="4" t="s">
        <v>3043</v>
      </c>
      <c r="B1521" s="5" t="s">
        <v>3044</v>
      </c>
      <c r="C1521" s="6"/>
      <c r="D1521" s="7">
        <v>45441.0</v>
      </c>
      <c r="E1521" s="7">
        <v>45796.0</v>
      </c>
      <c r="F1521" s="7">
        <v>45796.0</v>
      </c>
    </row>
    <row r="1522">
      <c r="A1522" s="4" t="s">
        <v>3045</v>
      </c>
      <c r="B1522" s="5" t="s">
        <v>3046</v>
      </c>
      <c r="C1522" s="6"/>
      <c r="D1522" s="7">
        <v>45441.0</v>
      </c>
      <c r="E1522" s="7">
        <v>45798.0</v>
      </c>
      <c r="F1522" s="7">
        <v>45798.0</v>
      </c>
    </row>
    <row r="1523">
      <c r="A1523" s="4" t="s">
        <v>3047</v>
      </c>
      <c r="B1523" s="5" t="s">
        <v>3048</v>
      </c>
      <c r="C1523" s="6"/>
      <c r="D1523" s="7">
        <v>45441.0</v>
      </c>
      <c r="E1523" s="7">
        <v>45785.0</v>
      </c>
      <c r="F1523" s="7">
        <v>45785.0</v>
      </c>
    </row>
    <row r="1524">
      <c r="A1524" s="4" t="s">
        <v>3049</v>
      </c>
      <c r="B1524" s="5" t="s">
        <v>3050</v>
      </c>
      <c r="C1524" s="6"/>
      <c r="D1524" s="7">
        <v>45441.0</v>
      </c>
      <c r="E1524" s="7">
        <v>45797.0</v>
      </c>
      <c r="F1524" s="7">
        <v>45797.0</v>
      </c>
    </row>
    <row r="1525">
      <c r="A1525" s="4" t="s">
        <v>3051</v>
      </c>
      <c r="B1525" s="5" t="s">
        <v>3052</v>
      </c>
      <c r="C1525" s="6"/>
      <c r="D1525" s="7">
        <v>45442.0</v>
      </c>
      <c r="E1525" s="7">
        <v>45798.0</v>
      </c>
      <c r="F1525" s="7">
        <v>45798.0</v>
      </c>
    </row>
    <row r="1526">
      <c r="A1526" s="4" t="s">
        <v>3053</v>
      </c>
      <c r="B1526" s="5" t="s">
        <v>3054</v>
      </c>
      <c r="C1526" s="6"/>
      <c r="D1526" s="7">
        <v>45442.0</v>
      </c>
      <c r="E1526" s="7">
        <v>45797.0</v>
      </c>
      <c r="F1526" s="7">
        <v>45797.0</v>
      </c>
    </row>
    <row r="1527">
      <c r="A1527" s="4" t="s">
        <v>3055</v>
      </c>
      <c r="B1527" s="5" t="s">
        <v>3056</v>
      </c>
      <c r="C1527" s="6"/>
      <c r="D1527" s="7">
        <v>45442.0</v>
      </c>
      <c r="E1527" s="7">
        <v>45797.0</v>
      </c>
      <c r="F1527" s="7">
        <v>45797.0</v>
      </c>
    </row>
    <row r="1528">
      <c r="A1528" s="4" t="s">
        <v>3057</v>
      </c>
      <c r="B1528" s="5" t="s">
        <v>3058</v>
      </c>
      <c r="C1528" s="6"/>
      <c r="D1528" s="7">
        <v>45442.0</v>
      </c>
      <c r="E1528" s="7">
        <v>45799.0</v>
      </c>
      <c r="F1528" s="7">
        <v>45799.0</v>
      </c>
    </row>
    <row r="1529">
      <c r="A1529" s="4" t="s">
        <v>3059</v>
      </c>
      <c r="B1529" s="5" t="s">
        <v>3060</v>
      </c>
      <c r="C1529" s="6"/>
      <c r="D1529" s="7">
        <v>45442.0</v>
      </c>
      <c r="E1529" s="7">
        <v>45804.0</v>
      </c>
      <c r="F1529" s="7">
        <v>45804.0</v>
      </c>
    </row>
    <row r="1530">
      <c r="A1530" s="4" t="s">
        <v>3061</v>
      </c>
      <c r="B1530" s="5" t="s">
        <v>3062</v>
      </c>
      <c r="C1530" s="6"/>
      <c r="D1530" s="7">
        <v>45442.0</v>
      </c>
      <c r="E1530" s="7">
        <v>45814.0</v>
      </c>
      <c r="F1530" s="7">
        <v>45814.0</v>
      </c>
    </row>
    <row r="1531">
      <c r="A1531" s="4" t="s">
        <v>3063</v>
      </c>
      <c r="B1531" s="5" t="s">
        <v>3064</v>
      </c>
      <c r="C1531" s="6"/>
      <c r="D1531" s="7">
        <v>45442.0</v>
      </c>
      <c r="E1531" s="7">
        <v>45796.0</v>
      </c>
      <c r="F1531" s="7">
        <v>45796.0</v>
      </c>
    </row>
    <row r="1532">
      <c r="A1532" s="4" t="s">
        <v>3065</v>
      </c>
      <c r="B1532" s="5" t="s">
        <v>3066</v>
      </c>
      <c r="C1532" s="6"/>
      <c r="D1532" s="7">
        <v>45442.0</v>
      </c>
      <c r="E1532" s="7">
        <v>45797.0</v>
      </c>
      <c r="F1532" s="7">
        <v>45797.0</v>
      </c>
    </row>
    <row r="1533">
      <c r="A1533" s="4" t="s">
        <v>3067</v>
      </c>
      <c r="B1533" s="5" t="s">
        <v>3068</v>
      </c>
      <c r="C1533" s="6"/>
      <c r="D1533" s="7">
        <v>45442.0</v>
      </c>
      <c r="E1533" s="7">
        <v>45817.0</v>
      </c>
      <c r="F1533" s="7">
        <v>45817.0</v>
      </c>
    </row>
    <row r="1534">
      <c r="A1534" s="4" t="s">
        <v>3069</v>
      </c>
      <c r="B1534" s="5" t="s">
        <v>3070</v>
      </c>
      <c r="C1534" s="6"/>
      <c r="D1534" s="7">
        <v>45442.0</v>
      </c>
      <c r="E1534" s="7">
        <v>45797.0</v>
      </c>
      <c r="F1534" s="7">
        <v>45797.0</v>
      </c>
    </row>
    <row r="1535">
      <c r="A1535" s="4" t="s">
        <v>3071</v>
      </c>
      <c r="B1535" s="5" t="s">
        <v>3072</v>
      </c>
      <c r="C1535" s="6"/>
      <c r="D1535" s="7">
        <v>45442.0</v>
      </c>
      <c r="E1535" s="7">
        <v>45797.0</v>
      </c>
      <c r="F1535" s="7">
        <v>45797.0</v>
      </c>
    </row>
    <row r="1536">
      <c r="A1536" s="4" t="s">
        <v>3073</v>
      </c>
      <c r="B1536" s="5" t="s">
        <v>3074</v>
      </c>
      <c r="C1536" s="6"/>
      <c r="D1536" s="7">
        <v>45442.0</v>
      </c>
      <c r="E1536" s="7">
        <v>45797.0</v>
      </c>
      <c r="F1536" s="7">
        <v>45797.0</v>
      </c>
    </row>
    <row r="1537">
      <c r="A1537" s="4" t="s">
        <v>3075</v>
      </c>
      <c r="B1537" s="5" t="s">
        <v>3076</v>
      </c>
      <c r="C1537" s="6"/>
      <c r="D1537" s="7">
        <v>45442.0</v>
      </c>
      <c r="E1537" s="7">
        <v>45797.0</v>
      </c>
      <c r="F1537" s="7">
        <v>45797.0</v>
      </c>
    </row>
    <row r="1538">
      <c r="A1538" s="4" t="s">
        <v>3077</v>
      </c>
      <c r="B1538" s="5" t="s">
        <v>3078</v>
      </c>
      <c r="C1538" s="6"/>
      <c r="D1538" s="7">
        <v>45442.0</v>
      </c>
      <c r="E1538" s="7">
        <v>45799.0</v>
      </c>
      <c r="F1538" s="7">
        <v>45799.0</v>
      </c>
    </row>
    <row r="1539">
      <c r="A1539" s="4" t="s">
        <v>3079</v>
      </c>
      <c r="B1539" s="5" t="s">
        <v>3080</v>
      </c>
      <c r="C1539" s="6"/>
      <c r="D1539" s="7">
        <v>45442.0</v>
      </c>
      <c r="E1539" s="7">
        <v>45782.0</v>
      </c>
      <c r="F1539" s="7">
        <v>45782.0</v>
      </c>
    </row>
    <row r="1540">
      <c r="A1540" s="4" t="s">
        <v>3081</v>
      </c>
      <c r="B1540" s="5" t="s">
        <v>3082</v>
      </c>
      <c r="C1540" s="6"/>
      <c r="D1540" s="7">
        <v>45442.0</v>
      </c>
      <c r="E1540" s="7">
        <v>45797.0</v>
      </c>
      <c r="F1540" s="7">
        <v>45797.0</v>
      </c>
    </row>
    <row r="1541">
      <c r="A1541" s="4" t="s">
        <v>3083</v>
      </c>
      <c r="B1541" s="5" t="s">
        <v>3084</v>
      </c>
      <c r="C1541" s="6"/>
      <c r="D1541" s="7">
        <v>45442.0</v>
      </c>
      <c r="E1541" s="7">
        <v>45798.0</v>
      </c>
      <c r="F1541" s="7">
        <v>45798.0</v>
      </c>
    </row>
    <row r="1542">
      <c r="A1542" s="4" t="s">
        <v>3085</v>
      </c>
      <c r="B1542" s="5" t="s">
        <v>3086</v>
      </c>
      <c r="C1542" s="6"/>
      <c r="D1542" s="7">
        <v>45442.0</v>
      </c>
      <c r="E1542" s="7">
        <v>45797.0</v>
      </c>
      <c r="F1542" s="7">
        <v>45797.0</v>
      </c>
    </row>
    <row r="1543">
      <c r="A1543" s="4" t="s">
        <v>3087</v>
      </c>
      <c r="B1543" s="5" t="s">
        <v>3088</v>
      </c>
      <c r="C1543" s="6"/>
      <c r="D1543" s="7">
        <v>45442.0</v>
      </c>
      <c r="E1543" s="7">
        <v>45820.0</v>
      </c>
      <c r="F1543" s="7">
        <v>45820.0</v>
      </c>
    </row>
    <row r="1544">
      <c r="A1544" s="4" t="s">
        <v>3089</v>
      </c>
      <c r="B1544" s="5" t="s">
        <v>3090</v>
      </c>
      <c r="C1544" s="6"/>
      <c r="D1544" s="7">
        <v>45442.0</v>
      </c>
      <c r="E1544" s="7">
        <v>45797.0</v>
      </c>
      <c r="F1544" s="7">
        <v>45797.0</v>
      </c>
    </row>
    <row r="1545">
      <c r="A1545" s="4" t="s">
        <v>3091</v>
      </c>
      <c r="B1545" s="5" t="s">
        <v>3092</v>
      </c>
      <c r="C1545" s="6"/>
      <c r="D1545" s="7">
        <v>45442.0</v>
      </c>
      <c r="E1545" s="7">
        <v>45797.0</v>
      </c>
      <c r="F1545" s="7">
        <v>45797.0</v>
      </c>
    </row>
    <row r="1546">
      <c r="A1546" s="4" t="s">
        <v>3093</v>
      </c>
      <c r="B1546" s="5" t="s">
        <v>3094</v>
      </c>
      <c r="C1546" s="6"/>
      <c r="D1546" s="7">
        <v>45442.0</v>
      </c>
      <c r="E1546" s="7">
        <v>45797.0</v>
      </c>
      <c r="F1546" s="7">
        <v>45797.0</v>
      </c>
    </row>
    <row r="1547">
      <c r="A1547" s="4" t="s">
        <v>3095</v>
      </c>
      <c r="B1547" s="5" t="s">
        <v>3096</v>
      </c>
      <c r="C1547" s="6"/>
      <c r="D1547" s="7">
        <v>45442.0</v>
      </c>
      <c r="E1547" s="7">
        <v>45797.0</v>
      </c>
      <c r="F1547" s="7">
        <v>45797.0</v>
      </c>
    </row>
    <row r="1548">
      <c r="A1548" s="4" t="s">
        <v>3097</v>
      </c>
      <c r="B1548" s="5" t="s">
        <v>3098</v>
      </c>
      <c r="C1548" s="6"/>
      <c r="D1548" s="7">
        <v>45442.0</v>
      </c>
      <c r="E1548" s="7">
        <v>45792.0</v>
      </c>
      <c r="F1548" s="7">
        <v>45792.0</v>
      </c>
    </row>
    <row r="1549">
      <c r="A1549" s="4" t="s">
        <v>3099</v>
      </c>
      <c r="B1549" s="5" t="s">
        <v>3100</v>
      </c>
      <c r="C1549" s="6"/>
      <c r="D1549" s="7">
        <v>45442.0</v>
      </c>
      <c r="E1549" s="7">
        <v>45797.0</v>
      </c>
      <c r="F1549" s="7">
        <v>45797.0</v>
      </c>
    </row>
    <row r="1550">
      <c r="A1550" s="4" t="s">
        <v>3101</v>
      </c>
      <c r="B1550" s="5" t="s">
        <v>3102</v>
      </c>
      <c r="C1550" s="6"/>
      <c r="D1550" s="7">
        <v>45442.0</v>
      </c>
      <c r="E1550" s="7">
        <v>45797.0</v>
      </c>
      <c r="F1550" s="7">
        <v>45797.0</v>
      </c>
    </row>
    <row r="1551">
      <c r="A1551" s="4" t="s">
        <v>3103</v>
      </c>
      <c r="B1551" s="5" t="s">
        <v>3104</v>
      </c>
      <c r="C1551" s="6"/>
      <c r="D1551" s="7">
        <v>45442.0</v>
      </c>
      <c r="E1551" s="7">
        <v>45797.0</v>
      </c>
      <c r="F1551" s="7">
        <v>45797.0</v>
      </c>
    </row>
    <row r="1552">
      <c r="A1552" s="4" t="s">
        <v>3105</v>
      </c>
      <c r="B1552" s="5" t="s">
        <v>3106</v>
      </c>
      <c r="C1552" s="6"/>
      <c r="D1552" s="7">
        <v>45442.0</v>
      </c>
      <c r="E1552" s="7">
        <v>45805.0</v>
      </c>
      <c r="F1552" s="7">
        <v>45805.0</v>
      </c>
    </row>
    <row r="1553">
      <c r="A1553" s="4" t="s">
        <v>3107</v>
      </c>
      <c r="B1553" s="5" t="s">
        <v>3108</v>
      </c>
      <c r="C1553" s="6"/>
      <c r="D1553" s="7">
        <v>45442.0</v>
      </c>
      <c r="E1553" s="7">
        <v>45797.0</v>
      </c>
      <c r="F1553" s="7">
        <v>45797.0</v>
      </c>
    </row>
    <row r="1554">
      <c r="A1554" s="4" t="s">
        <v>3109</v>
      </c>
      <c r="B1554" s="5" t="s">
        <v>3110</v>
      </c>
      <c r="C1554" s="6"/>
      <c r="D1554" s="7">
        <v>45442.0</v>
      </c>
      <c r="E1554" s="7">
        <v>45804.0</v>
      </c>
      <c r="F1554" s="7">
        <v>45804.0</v>
      </c>
    </row>
    <row r="1555">
      <c r="A1555" s="4" t="s">
        <v>3111</v>
      </c>
      <c r="B1555" s="5" t="s">
        <v>3112</v>
      </c>
      <c r="C1555" s="6"/>
      <c r="D1555" s="7">
        <v>45442.0</v>
      </c>
      <c r="E1555" s="7">
        <v>45825.0</v>
      </c>
      <c r="F1555" s="7">
        <v>45825.0</v>
      </c>
    </row>
    <row r="1556">
      <c r="A1556" s="4" t="s">
        <v>3113</v>
      </c>
      <c r="B1556" s="5" t="s">
        <v>3114</v>
      </c>
      <c r="C1556" s="6"/>
      <c r="D1556" s="7">
        <v>45442.0</v>
      </c>
      <c r="E1556" s="7">
        <v>45792.0</v>
      </c>
      <c r="F1556" s="7">
        <v>45792.0</v>
      </c>
    </row>
    <row r="1557">
      <c r="A1557" s="4" t="s">
        <v>3115</v>
      </c>
      <c r="B1557" s="5" t="s">
        <v>3116</v>
      </c>
      <c r="C1557" s="6"/>
      <c r="D1557" s="7">
        <v>45442.0</v>
      </c>
      <c r="E1557" s="7">
        <v>45798.0</v>
      </c>
      <c r="F1557" s="7">
        <v>45798.0</v>
      </c>
    </row>
    <row r="1558">
      <c r="A1558" s="4" t="s">
        <v>3117</v>
      </c>
      <c r="B1558" s="5" t="s">
        <v>3118</v>
      </c>
      <c r="C1558" s="6"/>
      <c r="D1558" s="7">
        <v>45442.0</v>
      </c>
      <c r="E1558" s="7">
        <v>45797.0</v>
      </c>
      <c r="F1558" s="7">
        <v>45797.0</v>
      </c>
    </row>
    <row r="1559">
      <c r="A1559" s="4" t="s">
        <v>3119</v>
      </c>
      <c r="B1559" s="5" t="s">
        <v>3120</v>
      </c>
      <c r="C1559" s="6"/>
      <c r="D1559" s="7">
        <v>45442.0</v>
      </c>
      <c r="E1559" s="7">
        <v>45798.0</v>
      </c>
      <c r="F1559" s="7">
        <v>45798.0</v>
      </c>
    </row>
    <row r="1560">
      <c r="A1560" s="4" t="s">
        <v>3121</v>
      </c>
      <c r="B1560" s="5" t="s">
        <v>3122</v>
      </c>
      <c r="C1560" s="6"/>
      <c r="D1560" s="7">
        <v>45442.0</v>
      </c>
      <c r="E1560" s="7">
        <v>45796.0</v>
      </c>
      <c r="F1560" s="7">
        <v>45796.0</v>
      </c>
    </row>
    <row r="1561">
      <c r="A1561" s="4" t="s">
        <v>3123</v>
      </c>
      <c r="B1561" s="5" t="s">
        <v>3124</v>
      </c>
      <c r="C1561" s="6"/>
      <c r="D1561" s="7">
        <v>45442.0</v>
      </c>
      <c r="E1561" s="7">
        <v>45796.0</v>
      </c>
      <c r="F1561" s="7">
        <v>45796.0</v>
      </c>
    </row>
    <row r="1562">
      <c r="A1562" s="4" t="s">
        <v>3125</v>
      </c>
      <c r="B1562" s="5" t="s">
        <v>3126</v>
      </c>
      <c r="C1562" s="6"/>
      <c r="D1562" s="7">
        <v>45442.0</v>
      </c>
      <c r="E1562" s="7">
        <v>45796.0</v>
      </c>
      <c r="F1562" s="7">
        <v>45796.0</v>
      </c>
    </row>
    <row r="1563">
      <c r="A1563" s="4" t="s">
        <v>3127</v>
      </c>
      <c r="B1563" s="5" t="s">
        <v>3128</v>
      </c>
      <c r="C1563" s="6"/>
      <c r="D1563" s="7">
        <v>45442.0</v>
      </c>
      <c r="E1563" s="7">
        <v>45798.0</v>
      </c>
      <c r="F1563" s="7">
        <v>45798.0</v>
      </c>
    </row>
    <row r="1564">
      <c r="A1564" s="4" t="s">
        <v>3129</v>
      </c>
      <c r="B1564" s="5" t="s">
        <v>3130</v>
      </c>
      <c r="C1564" s="6"/>
      <c r="D1564" s="7">
        <v>45442.0</v>
      </c>
      <c r="E1564" s="7">
        <v>45796.0</v>
      </c>
      <c r="F1564" s="7">
        <v>45796.0</v>
      </c>
    </row>
    <row r="1565">
      <c r="A1565" s="4" t="s">
        <v>3131</v>
      </c>
      <c r="B1565" s="5" t="s">
        <v>3132</v>
      </c>
      <c r="C1565" s="6"/>
      <c r="D1565" s="7">
        <v>45442.0</v>
      </c>
      <c r="E1565" s="7">
        <v>45797.0</v>
      </c>
      <c r="F1565" s="7">
        <v>45797.0</v>
      </c>
    </row>
    <row r="1566">
      <c r="A1566" s="4" t="s">
        <v>3133</v>
      </c>
      <c r="B1566" s="5" t="s">
        <v>3134</v>
      </c>
      <c r="C1566" s="6"/>
      <c r="D1566" s="7">
        <v>45442.0</v>
      </c>
      <c r="E1566" s="7">
        <v>45792.0</v>
      </c>
      <c r="F1566" s="7">
        <v>45792.0</v>
      </c>
    </row>
    <row r="1567">
      <c r="A1567" s="4" t="s">
        <v>3135</v>
      </c>
      <c r="B1567" s="5" t="s">
        <v>3136</v>
      </c>
      <c r="C1567" s="6"/>
      <c r="D1567" s="7">
        <v>45443.0</v>
      </c>
      <c r="E1567" s="7">
        <v>45798.0</v>
      </c>
      <c r="F1567" s="7">
        <v>45798.0</v>
      </c>
    </row>
    <row r="1568">
      <c r="A1568" s="4" t="s">
        <v>3137</v>
      </c>
      <c r="B1568" s="5" t="s">
        <v>3138</v>
      </c>
      <c r="C1568" s="6"/>
      <c r="D1568" s="7">
        <v>45443.0</v>
      </c>
      <c r="E1568" s="7">
        <v>45796.0</v>
      </c>
      <c r="F1568" s="7">
        <v>45796.0</v>
      </c>
    </row>
    <row r="1569">
      <c r="A1569" s="4" t="s">
        <v>3139</v>
      </c>
      <c r="B1569" s="5" t="s">
        <v>3140</v>
      </c>
      <c r="C1569" s="6"/>
      <c r="D1569" s="7">
        <v>45443.0</v>
      </c>
      <c r="E1569" s="7">
        <v>45797.0</v>
      </c>
      <c r="F1569" s="7">
        <v>45797.0</v>
      </c>
    </row>
    <row r="1570">
      <c r="A1570" s="4" t="s">
        <v>3141</v>
      </c>
      <c r="B1570" s="5" t="s">
        <v>3142</v>
      </c>
      <c r="C1570" s="6"/>
      <c r="D1570" s="7">
        <v>45443.0</v>
      </c>
      <c r="E1570" s="7">
        <v>45796.0</v>
      </c>
      <c r="F1570" s="7">
        <v>45796.0</v>
      </c>
    </row>
    <row r="1571">
      <c r="A1571" s="4" t="s">
        <v>3143</v>
      </c>
      <c r="B1571" s="5" t="s">
        <v>3144</v>
      </c>
      <c r="C1571" s="6"/>
      <c r="D1571" s="7">
        <v>45443.0</v>
      </c>
      <c r="E1571" s="7">
        <v>45796.0</v>
      </c>
      <c r="F1571" s="7">
        <v>45796.0</v>
      </c>
    </row>
    <row r="1572">
      <c r="A1572" s="4" t="s">
        <v>3145</v>
      </c>
      <c r="B1572" s="5" t="s">
        <v>3146</v>
      </c>
      <c r="C1572" s="6"/>
      <c r="D1572" s="7">
        <v>45443.0</v>
      </c>
      <c r="E1572" s="7">
        <v>45791.0</v>
      </c>
      <c r="F1572" s="7">
        <v>45791.0</v>
      </c>
    </row>
    <row r="1573">
      <c r="A1573" s="4" t="s">
        <v>3147</v>
      </c>
      <c r="B1573" s="5" t="s">
        <v>3148</v>
      </c>
      <c r="C1573" s="6"/>
      <c r="D1573" s="7">
        <v>45443.0</v>
      </c>
      <c r="E1573" s="7">
        <v>45797.0</v>
      </c>
      <c r="F1573" s="7">
        <v>45797.0</v>
      </c>
    </row>
    <row r="1574">
      <c r="A1574" s="4" t="s">
        <v>3149</v>
      </c>
      <c r="B1574" s="5" t="s">
        <v>3150</v>
      </c>
      <c r="C1574" s="6"/>
      <c r="D1574" s="7">
        <v>45443.0</v>
      </c>
      <c r="E1574" s="5" t="e">
        <v>#N/A</v>
      </c>
      <c r="F1574" s="5" t="e">
        <v>#N/A</v>
      </c>
    </row>
    <row r="1575">
      <c r="A1575" s="4" t="s">
        <v>3151</v>
      </c>
      <c r="B1575" s="5" t="s">
        <v>3152</v>
      </c>
      <c r="C1575" s="6"/>
      <c r="D1575" s="7">
        <v>45443.0</v>
      </c>
      <c r="E1575" s="7">
        <v>45796.0</v>
      </c>
      <c r="F1575" s="7">
        <v>45796.0</v>
      </c>
    </row>
    <row r="1576">
      <c r="A1576" s="4" t="s">
        <v>3153</v>
      </c>
      <c r="B1576" s="5" t="s">
        <v>3154</v>
      </c>
      <c r="C1576" s="6"/>
      <c r="D1576" s="7">
        <v>45443.0</v>
      </c>
      <c r="E1576" s="7">
        <v>45810.0</v>
      </c>
      <c r="F1576" s="7">
        <v>45810.0</v>
      </c>
    </row>
    <row r="1577">
      <c r="A1577" s="4" t="s">
        <v>3155</v>
      </c>
      <c r="B1577" s="5" t="s">
        <v>3156</v>
      </c>
      <c r="C1577" s="6"/>
      <c r="D1577" s="7">
        <v>45443.0</v>
      </c>
      <c r="E1577" s="7">
        <v>45794.0</v>
      </c>
      <c r="F1577" s="7">
        <v>45794.0</v>
      </c>
    </row>
    <row r="1578">
      <c r="A1578" s="4" t="s">
        <v>3157</v>
      </c>
      <c r="B1578" s="5" t="s">
        <v>3158</v>
      </c>
      <c r="C1578" s="6"/>
      <c r="D1578" s="7">
        <v>45443.0</v>
      </c>
      <c r="E1578" s="7">
        <v>45771.0</v>
      </c>
      <c r="F1578" s="7">
        <v>45771.0</v>
      </c>
    </row>
    <row r="1579">
      <c r="A1579" s="4" t="s">
        <v>3159</v>
      </c>
      <c r="B1579" s="5" t="s">
        <v>3160</v>
      </c>
      <c r="C1579" s="6"/>
      <c r="D1579" s="7">
        <v>45443.0</v>
      </c>
      <c r="E1579" s="7">
        <v>45793.0</v>
      </c>
      <c r="F1579" s="7">
        <v>45793.0</v>
      </c>
    </row>
    <row r="1580">
      <c r="A1580" s="4" t="s">
        <v>3161</v>
      </c>
      <c r="B1580" s="5" t="s">
        <v>3162</v>
      </c>
      <c r="C1580" s="6"/>
      <c r="D1580" s="7">
        <v>45443.0</v>
      </c>
      <c r="E1580" s="7">
        <v>45793.0</v>
      </c>
      <c r="F1580" s="7">
        <v>45793.0</v>
      </c>
    </row>
    <row r="1581">
      <c r="A1581" s="4" t="s">
        <v>3163</v>
      </c>
      <c r="B1581" s="5" t="s">
        <v>3164</v>
      </c>
      <c r="C1581" s="6"/>
      <c r="D1581" s="7">
        <v>45078.0</v>
      </c>
      <c r="E1581" s="7">
        <v>45793.0</v>
      </c>
      <c r="F1581" s="7">
        <v>45793.0</v>
      </c>
    </row>
    <row r="1582">
      <c r="A1582" s="4" t="s">
        <v>3165</v>
      </c>
      <c r="B1582" s="5" t="s">
        <v>3166</v>
      </c>
      <c r="C1582" s="6"/>
      <c r="D1582" s="7">
        <v>45446.0</v>
      </c>
      <c r="E1582" s="7">
        <v>45793.0</v>
      </c>
      <c r="F1582" s="7">
        <v>45793.0</v>
      </c>
    </row>
    <row r="1583">
      <c r="A1583" s="4" t="s">
        <v>3167</v>
      </c>
      <c r="B1583" s="5" t="s">
        <v>3168</v>
      </c>
      <c r="C1583" s="6"/>
      <c r="D1583" s="7">
        <v>45446.0</v>
      </c>
      <c r="E1583" s="7">
        <v>45818.0</v>
      </c>
      <c r="F1583" s="7">
        <v>45818.0</v>
      </c>
    </row>
    <row r="1584">
      <c r="A1584" s="4" t="s">
        <v>3169</v>
      </c>
      <c r="B1584" s="5" t="s">
        <v>3170</v>
      </c>
      <c r="C1584" s="6"/>
      <c r="D1584" s="7">
        <v>45446.0</v>
      </c>
      <c r="E1584" s="7">
        <v>45793.0</v>
      </c>
      <c r="F1584" s="7">
        <v>45793.0</v>
      </c>
    </row>
    <row r="1585">
      <c r="A1585" s="4" t="s">
        <v>3171</v>
      </c>
      <c r="B1585" s="5" t="s">
        <v>3172</v>
      </c>
      <c r="C1585" s="6"/>
      <c r="D1585" s="7">
        <v>45446.0</v>
      </c>
      <c r="E1585" s="7">
        <v>45792.0</v>
      </c>
      <c r="F1585" s="7">
        <v>45792.0</v>
      </c>
    </row>
    <row r="1586">
      <c r="A1586" s="4" t="s">
        <v>3173</v>
      </c>
      <c r="B1586" s="5" t="s">
        <v>3174</v>
      </c>
      <c r="C1586" s="6"/>
      <c r="D1586" s="7">
        <v>45446.0</v>
      </c>
      <c r="E1586" s="7">
        <v>45786.0</v>
      </c>
      <c r="F1586" s="7">
        <v>45786.0</v>
      </c>
    </row>
    <row r="1587">
      <c r="A1587" s="4" t="s">
        <v>3175</v>
      </c>
      <c r="B1587" s="5" t="s">
        <v>3176</v>
      </c>
      <c r="C1587" s="6"/>
      <c r="D1587" s="7">
        <v>45446.0</v>
      </c>
      <c r="E1587" s="7">
        <v>45793.0</v>
      </c>
      <c r="F1587" s="7">
        <v>45793.0</v>
      </c>
    </row>
    <row r="1588">
      <c r="A1588" s="4" t="s">
        <v>3177</v>
      </c>
      <c r="B1588" s="5" t="s">
        <v>3178</v>
      </c>
      <c r="C1588" s="6"/>
      <c r="D1588" s="7">
        <v>45446.0</v>
      </c>
      <c r="E1588" s="7">
        <v>45793.0</v>
      </c>
      <c r="F1588" s="7">
        <v>45793.0</v>
      </c>
    </row>
    <row r="1589">
      <c r="A1589" s="4" t="s">
        <v>3179</v>
      </c>
      <c r="B1589" s="5" t="s">
        <v>3180</v>
      </c>
      <c r="C1589" s="6"/>
      <c r="D1589" s="7">
        <v>45446.0</v>
      </c>
      <c r="E1589" s="7">
        <v>45798.0</v>
      </c>
      <c r="F1589" s="7">
        <v>45798.0</v>
      </c>
    </row>
    <row r="1590">
      <c r="A1590" s="4" t="s">
        <v>3181</v>
      </c>
      <c r="B1590" s="5" t="s">
        <v>3182</v>
      </c>
      <c r="C1590" s="6"/>
      <c r="D1590" s="7">
        <v>45446.0</v>
      </c>
      <c r="E1590" s="7">
        <v>45792.0</v>
      </c>
      <c r="F1590" s="7">
        <v>45792.0</v>
      </c>
    </row>
    <row r="1591">
      <c r="A1591" s="4" t="s">
        <v>3183</v>
      </c>
      <c r="B1591" s="5" t="s">
        <v>3184</v>
      </c>
      <c r="C1591" s="6"/>
      <c r="D1591" s="7">
        <v>45446.0</v>
      </c>
      <c r="E1591" s="7">
        <v>45791.0</v>
      </c>
      <c r="F1591" s="7">
        <v>45791.0</v>
      </c>
    </row>
    <row r="1592">
      <c r="A1592" s="4" t="s">
        <v>3185</v>
      </c>
      <c r="B1592" s="5" t="s">
        <v>3186</v>
      </c>
      <c r="C1592" s="6"/>
      <c r="D1592" s="7">
        <v>45446.0</v>
      </c>
      <c r="E1592" s="7">
        <v>45799.0</v>
      </c>
      <c r="F1592" s="7">
        <v>45799.0</v>
      </c>
    </row>
    <row r="1593">
      <c r="A1593" s="4" t="s">
        <v>3187</v>
      </c>
      <c r="B1593" s="5" t="s">
        <v>3188</v>
      </c>
      <c r="C1593" s="6"/>
      <c r="D1593" s="7">
        <v>45446.0</v>
      </c>
      <c r="E1593" s="7">
        <v>45806.0</v>
      </c>
      <c r="F1593" s="7">
        <v>45806.0</v>
      </c>
    </row>
    <row r="1594">
      <c r="A1594" s="4" t="s">
        <v>3189</v>
      </c>
      <c r="B1594" s="5" t="s">
        <v>3190</v>
      </c>
      <c r="C1594" s="6"/>
      <c r="D1594" s="7">
        <v>45446.0</v>
      </c>
      <c r="E1594" s="7">
        <v>45797.0</v>
      </c>
      <c r="F1594" s="7">
        <v>45797.0</v>
      </c>
    </row>
    <row r="1595">
      <c r="A1595" s="4" t="s">
        <v>3191</v>
      </c>
      <c r="B1595" s="5" t="s">
        <v>3192</v>
      </c>
      <c r="C1595" s="6"/>
      <c r="D1595" s="7">
        <v>45446.0</v>
      </c>
      <c r="E1595" s="7">
        <v>45797.0</v>
      </c>
      <c r="F1595" s="7">
        <v>45797.0</v>
      </c>
    </row>
    <row r="1596">
      <c r="A1596" s="4" t="s">
        <v>3193</v>
      </c>
      <c r="B1596" s="5" t="s">
        <v>3194</v>
      </c>
      <c r="C1596" s="6"/>
      <c r="D1596" s="7">
        <v>45446.0</v>
      </c>
      <c r="E1596" s="7">
        <v>45429.0</v>
      </c>
      <c r="F1596" s="7">
        <v>45429.0</v>
      </c>
    </row>
    <row r="1597">
      <c r="A1597" s="4" t="s">
        <v>3195</v>
      </c>
      <c r="B1597" s="5" t="s">
        <v>3196</v>
      </c>
      <c r="C1597" s="6"/>
      <c r="D1597" s="7">
        <v>45446.0</v>
      </c>
      <c r="E1597" s="7">
        <v>45800.0</v>
      </c>
      <c r="F1597" s="7">
        <v>45800.0</v>
      </c>
    </row>
    <row r="1598">
      <c r="A1598" s="4" t="s">
        <v>3197</v>
      </c>
      <c r="B1598" s="5" t="s">
        <v>3198</v>
      </c>
      <c r="C1598" s="6"/>
      <c r="D1598" s="7">
        <v>45446.0</v>
      </c>
      <c r="E1598" s="7">
        <v>45784.0</v>
      </c>
      <c r="F1598" s="7">
        <v>45784.0</v>
      </c>
    </row>
    <row r="1599">
      <c r="A1599" s="4" t="s">
        <v>3199</v>
      </c>
      <c r="B1599" s="5" t="s">
        <v>3200</v>
      </c>
      <c r="C1599" s="6"/>
      <c r="D1599" s="7">
        <v>45446.0</v>
      </c>
      <c r="E1599" s="7">
        <v>45786.0</v>
      </c>
      <c r="F1599" s="7">
        <v>45786.0</v>
      </c>
    </row>
    <row r="1600">
      <c r="A1600" s="4" t="s">
        <v>3201</v>
      </c>
      <c r="B1600" s="5" t="s">
        <v>3202</v>
      </c>
      <c r="C1600" s="6"/>
      <c r="D1600" s="7">
        <v>45446.0</v>
      </c>
      <c r="E1600" s="7">
        <v>45814.0</v>
      </c>
      <c r="F1600" s="7">
        <v>45814.0</v>
      </c>
    </row>
    <row r="1601">
      <c r="A1601" s="4" t="s">
        <v>3203</v>
      </c>
      <c r="B1601" s="5" t="s">
        <v>3204</v>
      </c>
      <c r="C1601" s="6"/>
      <c r="D1601" s="7">
        <v>45446.0</v>
      </c>
      <c r="E1601" s="7">
        <v>45813.0</v>
      </c>
      <c r="F1601" s="7">
        <v>45813.0</v>
      </c>
    </row>
    <row r="1602">
      <c r="A1602" s="4" t="s">
        <v>3205</v>
      </c>
      <c r="B1602" s="5" t="s">
        <v>3206</v>
      </c>
      <c r="C1602" s="6"/>
      <c r="D1602" s="7">
        <v>45446.0</v>
      </c>
      <c r="E1602" s="7">
        <v>45793.0</v>
      </c>
      <c r="F1602" s="7">
        <v>45793.0</v>
      </c>
    </row>
    <row r="1603">
      <c r="A1603" s="4" t="s">
        <v>3207</v>
      </c>
      <c r="B1603" s="5" t="s">
        <v>3208</v>
      </c>
      <c r="C1603" s="6"/>
      <c r="D1603" s="7">
        <v>45446.0</v>
      </c>
      <c r="E1603" s="7">
        <v>45799.0</v>
      </c>
      <c r="F1603" s="7">
        <v>45799.0</v>
      </c>
    </row>
    <row r="1604">
      <c r="A1604" s="4" t="s">
        <v>3209</v>
      </c>
      <c r="B1604" s="5" t="s">
        <v>3210</v>
      </c>
      <c r="C1604" s="6"/>
      <c r="D1604" s="7">
        <v>45446.0</v>
      </c>
      <c r="E1604" s="7">
        <v>45792.0</v>
      </c>
      <c r="F1604" s="7">
        <v>45792.0</v>
      </c>
    </row>
    <row r="1605">
      <c r="A1605" s="4" t="s">
        <v>3211</v>
      </c>
      <c r="B1605" s="5" t="s">
        <v>3212</v>
      </c>
      <c r="C1605" s="6"/>
      <c r="D1605" s="7">
        <v>45446.0</v>
      </c>
      <c r="E1605" s="7">
        <v>45792.0</v>
      </c>
      <c r="F1605" s="7">
        <v>45792.0</v>
      </c>
    </row>
    <row r="1606">
      <c r="A1606" s="4" t="s">
        <v>3213</v>
      </c>
      <c r="B1606" s="5" t="s">
        <v>3214</v>
      </c>
      <c r="C1606" s="6"/>
      <c r="D1606" s="7">
        <v>45446.0</v>
      </c>
      <c r="E1606" s="7">
        <v>45792.0</v>
      </c>
      <c r="F1606" s="7">
        <v>45792.0</v>
      </c>
    </row>
    <row r="1607">
      <c r="A1607" s="4" t="s">
        <v>3215</v>
      </c>
      <c r="B1607" s="5" t="s">
        <v>3216</v>
      </c>
      <c r="C1607" s="6"/>
      <c r="D1607" s="7">
        <v>45446.0</v>
      </c>
      <c r="E1607" s="7">
        <v>45792.0</v>
      </c>
      <c r="F1607" s="7">
        <v>45792.0</v>
      </c>
    </row>
    <row r="1608">
      <c r="A1608" s="4" t="s">
        <v>3217</v>
      </c>
      <c r="B1608" s="5" t="s">
        <v>3218</v>
      </c>
      <c r="C1608" s="6"/>
      <c r="D1608" s="7">
        <v>45446.0</v>
      </c>
      <c r="E1608" s="7">
        <v>45792.0</v>
      </c>
      <c r="F1608" s="7">
        <v>45792.0</v>
      </c>
    </row>
    <row r="1609">
      <c r="A1609" s="4" t="s">
        <v>3219</v>
      </c>
      <c r="B1609" s="5" t="s">
        <v>3220</v>
      </c>
      <c r="C1609" s="6"/>
      <c r="D1609" s="7">
        <v>45446.0</v>
      </c>
      <c r="E1609" s="7">
        <v>45792.0</v>
      </c>
      <c r="F1609" s="7">
        <v>45792.0</v>
      </c>
    </row>
    <row r="1610">
      <c r="A1610" s="4" t="s">
        <v>3221</v>
      </c>
      <c r="B1610" s="5" t="s">
        <v>3222</v>
      </c>
      <c r="C1610" s="6"/>
      <c r="D1610" s="7">
        <v>45446.0</v>
      </c>
      <c r="E1610" s="7">
        <v>45792.0</v>
      </c>
      <c r="F1610" s="7">
        <v>45792.0</v>
      </c>
    </row>
    <row r="1611">
      <c r="A1611" s="4" t="s">
        <v>3223</v>
      </c>
      <c r="B1611" s="5" t="s">
        <v>3224</v>
      </c>
      <c r="C1611" s="6"/>
      <c r="D1611" s="7">
        <v>45446.0</v>
      </c>
      <c r="E1611" s="7">
        <v>45797.0</v>
      </c>
      <c r="F1611" s="7">
        <v>45797.0</v>
      </c>
    </row>
    <row r="1612">
      <c r="A1612" s="4" t="s">
        <v>3225</v>
      </c>
      <c r="B1612" s="5" t="s">
        <v>3226</v>
      </c>
      <c r="C1612" s="6"/>
      <c r="D1612" s="7">
        <v>45446.0</v>
      </c>
      <c r="E1612" s="7">
        <v>45792.0</v>
      </c>
      <c r="F1612" s="7">
        <v>45792.0</v>
      </c>
    </row>
    <row r="1613">
      <c r="A1613" s="4" t="s">
        <v>3227</v>
      </c>
      <c r="B1613" s="5" t="s">
        <v>3228</v>
      </c>
      <c r="C1613" s="6"/>
      <c r="D1613" s="7">
        <v>45447.0</v>
      </c>
      <c r="E1613" s="7">
        <v>45792.0</v>
      </c>
      <c r="F1613" s="7">
        <v>45792.0</v>
      </c>
    </row>
    <row r="1614">
      <c r="A1614" s="4" t="s">
        <v>3229</v>
      </c>
      <c r="B1614" s="5" t="s">
        <v>3230</v>
      </c>
      <c r="C1614" s="6"/>
      <c r="D1614" s="7">
        <v>45447.0</v>
      </c>
      <c r="E1614" s="7">
        <v>45792.0</v>
      </c>
      <c r="F1614" s="7">
        <v>45792.0</v>
      </c>
    </row>
    <row r="1615">
      <c r="A1615" s="4" t="s">
        <v>3231</v>
      </c>
      <c r="B1615" s="5" t="s">
        <v>3232</v>
      </c>
      <c r="C1615" s="6"/>
      <c r="D1615" s="7">
        <v>45447.0</v>
      </c>
      <c r="E1615" s="7">
        <v>45792.0</v>
      </c>
      <c r="F1615" s="7">
        <v>45792.0</v>
      </c>
    </row>
    <row r="1616">
      <c r="A1616" s="4" t="s">
        <v>3233</v>
      </c>
      <c r="B1616" s="5" t="s">
        <v>3234</v>
      </c>
      <c r="C1616" s="6"/>
      <c r="D1616" s="7">
        <v>45447.0</v>
      </c>
      <c r="E1616" s="7">
        <v>45798.0</v>
      </c>
      <c r="F1616" s="7">
        <v>45798.0</v>
      </c>
    </row>
    <row r="1617">
      <c r="A1617" s="4" t="s">
        <v>3235</v>
      </c>
      <c r="B1617" s="5" t="s">
        <v>3236</v>
      </c>
      <c r="C1617" s="6"/>
      <c r="D1617" s="7">
        <v>45447.0</v>
      </c>
      <c r="E1617" s="7">
        <v>45790.0</v>
      </c>
      <c r="F1617" s="7">
        <v>45790.0</v>
      </c>
    </row>
    <row r="1618">
      <c r="A1618" s="4" t="s">
        <v>3237</v>
      </c>
      <c r="B1618" s="5" t="s">
        <v>3238</v>
      </c>
      <c r="C1618" s="6"/>
      <c r="D1618" s="7">
        <v>45447.0</v>
      </c>
      <c r="E1618" s="7">
        <v>45792.0</v>
      </c>
      <c r="F1618" s="7">
        <v>45792.0</v>
      </c>
    </row>
    <row r="1619">
      <c r="A1619" s="4" t="s">
        <v>3239</v>
      </c>
      <c r="B1619" s="5" t="s">
        <v>3240</v>
      </c>
      <c r="C1619" s="6"/>
      <c r="D1619" s="7">
        <v>45447.0</v>
      </c>
      <c r="E1619" s="7">
        <v>45798.0</v>
      </c>
      <c r="F1619" s="7">
        <v>45798.0</v>
      </c>
    </row>
    <row r="1620">
      <c r="A1620" s="4" t="s">
        <v>3241</v>
      </c>
      <c r="B1620" s="5" t="s">
        <v>3242</v>
      </c>
      <c r="C1620" s="6"/>
      <c r="D1620" s="7">
        <v>45447.0</v>
      </c>
      <c r="E1620" s="7">
        <v>45783.0</v>
      </c>
      <c r="F1620" s="7">
        <v>45783.0</v>
      </c>
    </row>
    <row r="1621">
      <c r="A1621" s="4" t="s">
        <v>3243</v>
      </c>
      <c r="B1621" s="5" t="s">
        <v>3244</v>
      </c>
      <c r="C1621" s="6"/>
      <c r="D1621" s="7">
        <v>45447.0</v>
      </c>
      <c r="E1621" s="7">
        <v>45799.0</v>
      </c>
      <c r="F1621" s="7">
        <v>45799.0</v>
      </c>
    </row>
    <row r="1622">
      <c r="A1622" s="4" t="s">
        <v>3245</v>
      </c>
      <c r="B1622" s="5" t="s">
        <v>3246</v>
      </c>
      <c r="C1622" s="6"/>
      <c r="D1622" s="7">
        <v>45447.0</v>
      </c>
      <c r="E1622" s="7">
        <v>45792.0</v>
      </c>
      <c r="F1622" s="7">
        <v>45792.0</v>
      </c>
    </row>
    <row r="1623">
      <c r="A1623" s="4" t="s">
        <v>3247</v>
      </c>
      <c r="B1623" s="5" t="s">
        <v>3248</v>
      </c>
      <c r="C1623" s="6"/>
      <c r="D1623" s="7">
        <v>45447.0</v>
      </c>
      <c r="E1623" s="7">
        <v>45792.0</v>
      </c>
      <c r="F1623" s="7">
        <v>45792.0</v>
      </c>
    </row>
    <row r="1624">
      <c r="A1624" s="4" t="s">
        <v>3249</v>
      </c>
      <c r="B1624" s="5" t="s">
        <v>3250</v>
      </c>
      <c r="C1624" s="6"/>
      <c r="D1624" s="7">
        <v>45447.0</v>
      </c>
      <c r="E1624" s="7">
        <v>45792.0</v>
      </c>
      <c r="F1624" s="7">
        <v>45792.0</v>
      </c>
    </row>
    <row r="1625">
      <c r="A1625" s="4" t="s">
        <v>3251</v>
      </c>
      <c r="B1625" s="5" t="s">
        <v>3252</v>
      </c>
      <c r="C1625" s="6"/>
      <c r="D1625" s="7">
        <v>45447.0</v>
      </c>
      <c r="E1625" s="7">
        <v>45792.0</v>
      </c>
      <c r="F1625" s="7">
        <v>45792.0</v>
      </c>
    </row>
    <row r="1626">
      <c r="A1626" s="4" t="s">
        <v>3253</v>
      </c>
      <c r="B1626" s="5" t="s">
        <v>3254</v>
      </c>
      <c r="C1626" s="6"/>
      <c r="D1626" s="7">
        <v>45447.0</v>
      </c>
      <c r="E1626" s="7">
        <v>45792.0</v>
      </c>
      <c r="F1626" s="7">
        <v>45792.0</v>
      </c>
    </row>
    <row r="1627">
      <c r="A1627" s="4" t="s">
        <v>3255</v>
      </c>
      <c r="B1627" s="5" t="s">
        <v>3256</v>
      </c>
      <c r="C1627" s="6"/>
      <c r="D1627" s="7">
        <v>45447.0</v>
      </c>
      <c r="E1627" s="7">
        <v>45798.0</v>
      </c>
      <c r="F1627" s="7">
        <v>45798.0</v>
      </c>
    </row>
    <row r="1628">
      <c r="A1628" s="4" t="s">
        <v>3257</v>
      </c>
      <c r="B1628" s="5" t="s">
        <v>3258</v>
      </c>
      <c r="C1628" s="6"/>
      <c r="D1628" s="7">
        <v>45447.0</v>
      </c>
      <c r="E1628" s="7">
        <v>45793.0</v>
      </c>
      <c r="F1628" s="7">
        <v>45793.0</v>
      </c>
    </row>
    <row r="1629">
      <c r="A1629" s="4" t="s">
        <v>3259</v>
      </c>
      <c r="B1629" s="5" t="s">
        <v>3260</v>
      </c>
      <c r="C1629" s="6"/>
      <c r="D1629" s="7">
        <v>45447.0</v>
      </c>
      <c r="E1629" s="7">
        <v>45792.0</v>
      </c>
      <c r="F1629" s="7">
        <v>45792.0</v>
      </c>
    </row>
    <row r="1630">
      <c r="A1630" s="4" t="s">
        <v>3261</v>
      </c>
      <c r="B1630" s="5" t="s">
        <v>3262</v>
      </c>
      <c r="C1630" s="6"/>
      <c r="D1630" s="7">
        <v>45447.0</v>
      </c>
      <c r="E1630" s="7">
        <v>45792.0</v>
      </c>
      <c r="F1630" s="7">
        <v>45792.0</v>
      </c>
    </row>
    <row r="1631">
      <c r="A1631" s="4" t="s">
        <v>3263</v>
      </c>
      <c r="B1631" s="5" t="s">
        <v>3264</v>
      </c>
      <c r="C1631" s="6"/>
      <c r="D1631" s="7">
        <v>45447.0</v>
      </c>
      <c r="E1631" s="7">
        <v>45793.0</v>
      </c>
      <c r="F1631" s="7">
        <v>45793.0</v>
      </c>
    </row>
    <row r="1632">
      <c r="A1632" s="4" t="s">
        <v>3265</v>
      </c>
      <c r="B1632" s="5" t="s">
        <v>3266</v>
      </c>
      <c r="C1632" s="6"/>
      <c r="D1632" s="7">
        <v>45447.0</v>
      </c>
      <c r="E1632" s="7">
        <v>45790.0</v>
      </c>
      <c r="F1632" s="7">
        <v>45790.0</v>
      </c>
    </row>
    <row r="1633">
      <c r="A1633" s="4" t="s">
        <v>3267</v>
      </c>
      <c r="B1633" s="5" t="s">
        <v>3268</v>
      </c>
      <c r="C1633" s="6"/>
      <c r="D1633" s="7">
        <v>45447.0</v>
      </c>
      <c r="E1633" s="7">
        <v>45792.0</v>
      </c>
      <c r="F1633" s="7">
        <v>45792.0</v>
      </c>
    </row>
    <row r="1634">
      <c r="A1634" s="4" t="s">
        <v>3269</v>
      </c>
      <c r="B1634" s="5" t="s">
        <v>3270</v>
      </c>
      <c r="C1634" s="6"/>
      <c r="D1634" s="7">
        <v>45447.0</v>
      </c>
      <c r="E1634" s="7">
        <v>45428.0</v>
      </c>
      <c r="F1634" s="7">
        <v>45428.0</v>
      </c>
    </row>
    <row r="1635">
      <c r="A1635" s="4" t="s">
        <v>3271</v>
      </c>
      <c r="B1635" s="5" t="s">
        <v>3272</v>
      </c>
      <c r="C1635" s="6"/>
      <c r="D1635" s="7">
        <v>45447.0</v>
      </c>
      <c r="E1635" s="7">
        <v>45792.0</v>
      </c>
      <c r="F1635" s="7">
        <v>45792.0</v>
      </c>
    </row>
    <row r="1636">
      <c r="A1636" s="4" t="s">
        <v>3273</v>
      </c>
      <c r="B1636" s="5" t="s">
        <v>3274</v>
      </c>
      <c r="C1636" s="6"/>
      <c r="D1636" s="7">
        <v>45447.0</v>
      </c>
      <c r="E1636" s="7">
        <v>45793.0</v>
      </c>
      <c r="F1636" s="7">
        <v>45793.0</v>
      </c>
    </row>
    <row r="1637">
      <c r="A1637" s="4" t="s">
        <v>3275</v>
      </c>
      <c r="B1637" s="5" t="s">
        <v>3276</v>
      </c>
      <c r="C1637" s="6"/>
      <c r="D1637" s="7">
        <v>45447.0</v>
      </c>
      <c r="E1637" s="7">
        <v>45799.0</v>
      </c>
      <c r="F1637" s="7">
        <v>45799.0</v>
      </c>
    </row>
    <row r="1638">
      <c r="A1638" s="4" t="s">
        <v>3277</v>
      </c>
      <c r="B1638" s="5" t="s">
        <v>3278</v>
      </c>
      <c r="C1638" s="6"/>
      <c r="D1638" s="7">
        <v>45447.0</v>
      </c>
      <c r="E1638" s="7">
        <v>45792.0</v>
      </c>
      <c r="F1638" s="7">
        <v>45792.0</v>
      </c>
    </row>
    <row r="1639">
      <c r="A1639" s="4" t="s">
        <v>3279</v>
      </c>
      <c r="B1639" s="5" t="s">
        <v>3280</v>
      </c>
      <c r="C1639" s="6"/>
      <c r="D1639" s="7">
        <v>45447.0</v>
      </c>
      <c r="E1639" s="7">
        <v>45792.0</v>
      </c>
      <c r="F1639" s="7">
        <v>45792.0</v>
      </c>
    </row>
    <row r="1640">
      <c r="A1640" s="4" t="s">
        <v>3281</v>
      </c>
      <c r="B1640" s="5" t="s">
        <v>3282</v>
      </c>
      <c r="C1640" s="6"/>
      <c r="D1640" s="7">
        <v>45447.0</v>
      </c>
      <c r="E1640" s="7">
        <v>45791.0</v>
      </c>
      <c r="F1640" s="7">
        <v>45791.0</v>
      </c>
    </row>
    <row r="1641">
      <c r="A1641" s="4" t="s">
        <v>3283</v>
      </c>
      <c r="B1641" s="5" t="s">
        <v>3284</v>
      </c>
      <c r="C1641" s="6"/>
      <c r="D1641" s="7">
        <v>45447.0</v>
      </c>
      <c r="E1641" s="7">
        <v>45792.0</v>
      </c>
      <c r="F1641" s="7">
        <v>45792.0</v>
      </c>
    </row>
    <row r="1642">
      <c r="A1642" s="4" t="s">
        <v>3285</v>
      </c>
      <c r="B1642" s="5" t="s">
        <v>3286</v>
      </c>
      <c r="C1642" s="6"/>
      <c r="D1642" s="7">
        <v>45447.0</v>
      </c>
      <c r="E1642" s="7">
        <v>45792.0</v>
      </c>
      <c r="F1642" s="7">
        <v>45792.0</v>
      </c>
    </row>
    <row r="1643">
      <c r="A1643" s="4" t="s">
        <v>3287</v>
      </c>
      <c r="B1643" s="5" t="s">
        <v>3288</v>
      </c>
      <c r="C1643" s="6"/>
      <c r="D1643" s="7">
        <v>45447.0</v>
      </c>
      <c r="E1643" s="7">
        <v>45791.0</v>
      </c>
      <c r="F1643" s="7">
        <v>45791.0</v>
      </c>
    </row>
    <row r="1644">
      <c r="A1644" s="4" t="s">
        <v>3289</v>
      </c>
      <c r="B1644" s="5" t="s">
        <v>3290</v>
      </c>
      <c r="C1644" s="6"/>
      <c r="D1644" s="7">
        <v>45447.0</v>
      </c>
      <c r="E1644" s="7">
        <v>45791.0</v>
      </c>
      <c r="F1644" s="7">
        <v>45791.0</v>
      </c>
    </row>
    <row r="1645">
      <c r="A1645" s="4" t="s">
        <v>3291</v>
      </c>
      <c r="B1645" s="5" t="s">
        <v>3292</v>
      </c>
      <c r="C1645" s="6"/>
      <c r="D1645" s="7">
        <v>45447.0</v>
      </c>
      <c r="E1645" s="7">
        <v>45792.0</v>
      </c>
      <c r="F1645" s="7">
        <v>45792.0</v>
      </c>
    </row>
    <row r="1646">
      <c r="A1646" s="4" t="s">
        <v>3293</v>
      </c>
      <c r="B1646" s="5" t="s">
        <v>3294</v>
      </c>
      <c r="C1646" s="6"/>
      <c r="D1646" s="7">
        <v>45447.0</v>
      </c>
      <c r="E1646" s="7">
        <v>45792.0</v>
      </c>
      <c r="F1646" s="7">
        <v>45792.0</v>
      </c>
    </row>
    <row r="1647">
      <c r="A1647" s="4" t="s">
        <v>3295</v>
      </c>
      <c r="B1647" s="5" t="s">
        <v>3296</v>
      </c>
      <c r="C1647" s="6"/>
      <c r="D1647" s="7">
        <v>45447.0</v>
      </c>
      <c r="E1647" s="7">
        <v>45792.0</v>
      </c>
      <c r="F1647" s="7">
        <v>45792.0</v>
      </c>
    </row>
    <row r="1648">
      <c r="A1648" s="4" t="s">
        <v>3297</v>
      </c>
      <c r="B1648" s="5" t="s">
        <v>3298</v>
      </c>
      <c r="C1648" s="6"/>
      <c r="D1648" s="7">
        <v>45447.0</v>
      </c>
      <c r="E1648" s="7">
        <v>45791.0</v>
      </c>
      <c r="F1648" s="7">
        <v>45791.0</v>
      </c>
    </row>
    <row r="1649">
      <c r="A1649" s="4" t="s">
        <v>3299</v>
      </c>
      <c r="B1649" s="5" t="s">
        <v>3300</v>
      </c>
      <c r="C1649" s="6"/>
      <c r="D1649" s="7">
        <v>45447.0</v>
      </c>
      <c r="E1649" s="7">
        <v>45792.0</v>
      </c>
      <c r="F1649" s="7">
        <v>45792.0</v>
      </c>
    </row>
    <row r="1650">
      <c r="A1650" s="4" t="s">
        <v>3301</v>
      </c>
      <c r="B1650" s="5" t="s">
        <v>3302</v>
      </c>
      <c r="C1650" s="6"/>
      <c r="D1650" s="7">
        <v>45447.0</v>
      </c>
      <c r="E1650" s="7">
        <v>45792.0</v>
      </c>
      <c r="F1650" s="7">
        <v>45792.0</v>
      </c>
    </row>
    <row r="1651">
      <c r="A1651" s="4" t="s">
        <v>3303</v>
      </c>
      <c r="B1651" s="5" t="s">
        <v>3304</v>
      </c>
      <c r="C1651" s="6"/>
      <c r="D1651" s="7">
        <v>45447.0</v>
      </c>
      <c r="E1651" s="7">
        <v>45792.0</v>
      </c>
      <c r="F1651" s="7">
        <v>45792.0</v>
      </c>
    </row>
    <row r="1652">
      <c r="A1652" s="4" t="s">
        <v>3305</v>
      </c>
      <c r="B1652" s="5" t="s">
        <v>3306</v>
      </c>
      <c r="C1652" s="6"/>
      <c r="D1652" s="7">
        <v>45447.0</v>
      </c>
      <c r="E1652" s="7">
        <v>45792.0</v>
      </c>
      <c r="F1652" s="7">
        <v>45792.0</v>
      </c>
    </row>
    <row r="1653">
      <c r="A1653" s="4" t="s">
        <v>3307</v>
      </c>
      <c r="B1653" s="5" t="s">
        <v>3308</v>
      </c>
      <c r="C1653" s="6"/>
      <c r="D1653" s="7">
        <v>45447.0</v>
      </c>
      <c r="E1653" s="7">
        <v>45791.0</v>
      </c>
      <c r="F1653" s="7">
        <v>45791.0</v>
      </c>
    </row>
    <row r="1654">
      <c r="A1654" s="4" t="s">
        <v>3309</v>
      </c>
      <c r="B1654" s="5" t="s">
        <v>3310</v>
      </c>
      <c r="C1654" s="6"/>
      <c r="D1654" s="7">
        <v>45447.0</v>
      </c>
      <c r="E1654" s="7">
        <v>45792.0</v>
      </c>
      <c r="F1654" s="7">
        <v>45792.0</v>
      </c>
    </row>
    <row r="1655">
      <c r="A1655" s="4" t="s">
        <v>3311</v>
      </c>
      <c r="B1655" s="5" t="s">
        <v>3312</v>
      </c>
      <c r="C1655" s="6"/>
      <c r="D1655" s="7">
        <v>45447.0</v>
      </c>
      <c r="E1655" s="7">
        <v>45792.0</v>
      </c>
      <c r="F1655" s="7">
        <v>45792.0</v>
      </c>
    </row>
    <row r="1656">
      <c r="A1656" s="4" t="s">
        <v>3313</v>
      </c>
      <c r="B1656" s="5" t="s">
        <v>3314</v>
      </c>
      <c r="C1656" s="6"/>
      <c r="D1656" s="7">
        <v>45447.0</v>
      </c>
      <c r="E1656" s="7">
        <v>45799.0</v>
      </c>
      <c r="F1656" s="7">
        <v>45799.0</v>
      </c>
    </row>
    <row r="1657">
      <c r="A1657" s="4" t="s">
        <v>3315</v>
      </c>
      <c r="B1657" s="5" t="s">
        <v>3316</v>
      </c>
      <c r="C1657" s="6"/>
      <c r="D1657" s="7">
        <v>45447.0</v>
      </c>
      <c r="E1657" s="7">
        <v>45428.0</v>
      </c>
      <c r="F1657" s="7">
        <v>45428.0</v>
      </c>
    </row>
    <row r="1658">
      <c r="A1658" s="4" t="s">
        <v>3317</v>
      </c>
      <c r="B1658" s="5" t="s">
        <v>3318</v>
      </c>
      <c r="C1658" s="6"/>
      <c r="D1658" s="7">
        <v>45447.0</v>
      </c>
      <c r="E1658" s="7">
        <v>45792.0</v>
      </c>
      <c r="F1658" s="7">
        <v>45792.0</v>
      </c>
    </row>
    <row r="1659">
      <c r="A1659" s="4" t="s">
        <v>3319</v>
      </c>
      <c r="B1659" s="5" t="s">
        <v>3320</v>
      </c>
      <c r="C1659" s="6"/>
      <c r="D1659" s="7">
        <v>45447.0</v>
      </c>
      <c r="E1659" s="7">
        <v>45785.0</v>
      </c>
      <c r="F1659" s="7">
        <v>45785.0</v>
      </c>
    </row>
    <row r="1660">
      <c r="A1660" s="4" t="s">
        <v>3321</v>
      </c>
      <c r="B1660" s="5" t="s">
        <v>3322</v>
      </c>
      <c r="C1660" s="6"/>
      <c r="D1660" s="7">
        <v>45447.0</v>
      </c>
      <c r="E1660" s="7">
        <v>45798.0</v>
      </c>
      <c r="F1660" s="7">
        <v>45798.0</v>
      </c>
    </row>
    <row r="1661">
      <c r="A1661" s="4" t="s">
        <v>3323</v>
      </c>
      <c r="B1661" s="5" t="s">
        <v>3324</v>
      </c>
      <c r="C1661" s="6"/>
      <c r="D1661" s="7">
        <v>45448.0</v>
      </c>
      <c r="E1661" s="7">
        <v>45799.0</v>
      </c>
      <c r="F1661" s="7">
        <v>45799.0</v>
      </c>
    </row>
    <row r="1662">
      <c r="A1662" s="4" t="s">
        <v>3325</v>
      </c>
      <c r="B1662" s="5" t="s">
        <v>3326</v>
      </c>
      <c r="C1662" s="6"/>
      <c r="D1662" s="7">
        <v>45448.0</v>
      </c>
      <c r="E1662" s="7">
        <v>45792.0</v>
      </c>
      <c r="F1662" s="7">
        <v>45792.0</v>
      </c>
    </row>
    <row r="1663">
      <c r="A1663" s="4" t="s">
        <v>3327</v>
      </c>
      <c r="B1663" s="5" t="s">
        <v>3328</v>
      </c>
      <c r="C1663" s="6"/>
      <c r="D1663" s="7">
        <v>45448.0</v>
      </c>
      <c r="E1663" s="7">
        <v>45791.0</v>
      </c>
      <c r="F1663" s="7">
        <v>45791.0</v>
      </c>
    </row>
    <row r="1664">
      <c r="A1664" s="4" t="s">
        <v>3329</v>
      </c>
      <c r="B1664" s="5" t="s">
        <v>3330</v>
      </c>
      <c r="C1664" s="6"/>
      <c r="D1664" s="7">
        <v>45448.0</v>
      </c>
      <c r="E1664" s="7">
        <v>45792.0</v>
      </c>
      <c r="F1664" s="7">
        <v>45792.0</v>
      </c>
    </row>
    <row r="1665">
      <c r="A1665" s="4" t="s">
        <v>3331</v>
      </c>
      <c r="B1665" s="5" t="s">
        <v>3332</v>
      </c>
      <c r="C1665" s="6"/>
      <c r="D1665" s="7">
        <v>45448.0</v>
      </c>
      <c r="E1665" s="7">
        <v>45791.0</v>
      </c>
      <c r="F1665" s="7">
        <v>45791.0</v>
      </c>
    </row>
    <row r="1666">
      <c r="A1666" s="4" t="s">
        <v>3333</v>
      </c>
      <c r="B1666" s="5" t="s">
        <v>3334</v>
      </c>
      <c r="C1666" s="6"/>
      <c r="D1666" s="7">
        <v>45448.0</v>
      </c>
      <c r="E1666" s="7">
        <v>45799.0</v>
      </c>
      <c r="F1666" s="7">
        <v>45799.0</v>
      </c>
    </row>
    <row r="1667">
      <c r="A1667" s="4" t="s">
        <v>3335</v>
      </c>
      <c r="B1667" s="5" t="s">
        <v>3336</v>
      </c>
      <c r="C1667" s="6"/>
      <c r="D1667" s="7">
        <v>45448.0</v>
      </c>
      <c r="E1667" s="7">
        <v>45792.0</v>
      </c>
      <c r="F1667" s="7">
        <v>45792.0</v>
      </c>
    </row>
    <row r="1668">
      <c r="A1668" s="4" t="s">
        <v>3337</v>
      </c>
      <c r="B1668" s="5" t="s">
        <v>3338</v>
      </c>
      <c r="C1668" s="6"/>
      <c r="D1668" s="7">
        <v>45448.0</v>
      </c>
      <c r="E1668" s="7">
        <v>45792.0</v>
      </c>
      <c r="F1668" s="7">
        <v>45792.0</v>
      </c>
    </row>
    <row r="1669">
      <c r="A1669" s="4" t="s">
        <v>3339</v>
      </c>
      <c r="B1669" s="5" t="s">
        <v>3340</v>
      </c>
      <c r="C1669" s="6"/>
      <c r="D1669" s="7">
        <v>45448.0</v>
      </c>
      <c r="E1669" s="7">
        <v>45792.0</v>
      </c>
      <c r="F1669" s="7">
        <v>45792.0</v>
      </c>
    </row>
    <row r="1670">
      <c r="A1670" s="4" t="s">
        <v>3341</v>
      </c>
      <c r="B1670" s="5" t="s">
        <v>3342</v>
      </c>
      <c r="C1670" s="6"/>
      <c r="D1670" s="7">
        <v>45448.0</v>
      </c>
      <c r="E1670" s="7">
        <v>45792.0</v>
      </c>
      <c r="F1670" s="7">
        <v>45792.0</v>
      </c>
    </row>
    <row r="1671">
      <c r="A1671" s="4" t="s">
        <v>3343</v>
      </c>
      <c r="B1671" s="5" t="s">
        <v>3344</v>
      </c>
      <c r="C1671" s="6"/>
      <c r="D1671" s="7">
        <v>45448.0</v>
      </c>
      <c r="E1671" s="7">
        <v>45792.0</v>
      </c>
      <c r="F1671" s="7">
        <v>45792.0</v>
      </c>
    </row>
    <row r="1672">
      <c r="A1672" s="4" t="s">
        <v>3345</v>
      </c>
      <c r="B1672" s="5" t="s">
        <v>3346</v>
      </c>
      <c r="C1672" s="6"/>
      <c r="D1672" s="7">
        <v>45448.0</v>
      </c>
      <c r="E1672" s="7">
        <v>45792.0</v>
      </c>
      <c r="F1672" s="7">
        <v>45792.0</v>
      </c>
    </row>
    <row r="1673">
      <c r="A1673" s="4" t="s">
        <v>3347</v>
      </c>
      <c r="B1673" s="5" t="s">
        <v>3348</v>
      </c>
      <c r="C1673" s="6"/>
      <c r="D1673" s="7">
        <v>45448.0</v>
      </c>
      <c r="E1673" s="7">
        <v>45792.0</v>
      </c>
      <c r="F1673" s="7">
        <v>45792.0</v>
      </c>
    </row>
    <row r="1674">
      <c r="A1674" s="4" t="s">
        <v>3349</v>
      </c>
      <c r="B1674" s="5" t="s">
        <v>3350</v>
      </c>
      <c r="C1674" s="6"/>
      <c r="D1674" s="7">
        <v>45448.0</v>
      </c>
      <c r="E1674" s="7">
        <v>45792.0</v>
      </c>
      <c r="F1674" s="7">
        <v>45792.0</v>
      </c>
    </row>
    <row r="1675">
      <c r="A1675" s="4" t="s">
        <v>3351</v>
      </c>
      <c r="B1675" s="5" t="s">
        <v>3352</v>
      </c>
      <c r="C1675" s="6"/>
      <c r="D1675" s="7">
        <v>45448.0</v>
      </c>
      <c r="E1675" s="7">
        <v>45792.0</v>
      </c>
      <c r="F1675" s="7">
        <v>45792.0</v>
      </c>
    </row>
    <row r="1676">
      <c r="A1676" s="4" t="s">
        <v>3353</v>
      </c>
      <c r="B1676" s="5" t="s">
        <v>3354</v>
      </c>
      <c r="C1676" s="6"/>
      <c r="D1676" s="7">
        <v>45448.0</v>
      </c>
      <c r="E1676" s="7">
        <v>45792.0</v>
      </c>
      <c r="F1676" s="7">
        <v>45792.0</v>
      </c>
    </row>
    <row r="1677">
      <c r="A1677" s="4" t="s">
        <v>3355</v>
      </c>
      <c r="B1677" s="5" t="s">
        <v>3356</v>
      </c>
      <c r="C1677" s="6"/>
      <c r="D1677" s="7">
        <v>45448.0</v>
      </c>
      <c r="E1677" s="7">
        <v>45792.0</v>
      </c>
      <c r="F1677" s="7">
        <v>45792.0</v>
      </c>
    </row>
    <row r="1678">
      <c r="A1678" s="4" t="s">
        <v>3357</v>
      </c>
      <c r="B1678" s="5" t="s">
        <v>3358</v>
      </c>
      <c r="C1678" s="6"/>
      <c r="D1678" s="7">
        <v>45448.0</v>
      </c>
      <c r="E1678" s="7">
        <v>45806.0</v>
      </c>
      <c r="F1678" s="7">
        <v>45806.0</v>
      </c>
    </row>
    <row r="1679">
      <c r="A1679" s="4" t="s">
        <v>3359</v>
      </c>
      <c r="B1679" s="5" t="s">
        <v>3360</v>
      </c>
      <c r="C1679" s="6"/>
      <c r="D1679" s="7">
        <v>45448.0</v>
      </c>
      <c r="E1679" s="7">
        <v>45792.0</v>
      </c>
      <c r="F1679" s="7">
        <v>45792.0</v>
      </c>
    </row>
    <row r="1680">
      <c r="A1680" s="4" t="s">
        <v>3361</v>
      </c>
      <c r="B1680" s="5" t="s">
        <v>3362</v>
      </c>
      <c r="C1680" s="6"/>
      <c r="D1680" s="7">
        <v>45448.0</v>
      </c>
      <c r="E1680" s="7">
        <v>45792.0</v>
      </c>
      <c r="F1680" s="7">
        <v>45792.0</v>
      </c>
    </row>
    <row r="1681">
      <c r="A1681" s="4" t="s">
        <v>3363</v>
      </c>
      <c r="B1681" s="5" t="s">
        <v>3364</v>
      </c>
      <c r="C1681" s="6"/>
      <c r="D1681" s="7">
        <v>45448.0</v>
      </c>
      <c r="E1681" s="7">
        <v>45799.0</v>
      </c>
      <c r="F1681" s="7">
        <v>45799.0</v>
      </c>
    </row>
    <row r="1682">
      <c r="A1682" s="4" t="s">
        <v>3365</v>
      </c>
      <c r="B1682" s="5" t="s">
        <v>3366</v>
      </c>
      <c r="C1682" s="6"/>
      <c r="D1682" s="7">
        <v>45448.0</v>
      </c>
      <c r="E1682" s="7">
        <v>45792.0</v>
      </c>
      <c r="F1682" s="7">
        <v>45792.0</v>
      </c>
    </row>
    <row r="1683">
      <c r="A1683" s="4" t="s">
        <v>3367</v>
      </c>
      <c r="B1683" s="5" t="s">
        <v>3368</v>
      </c>
      <c r="C1683" s="6"/>
      <c r="D1683" s="7">
        <v>45448.0</v>
      </c>
      <c r="E1683" s="7">
        <v>45792.0</v>
      </c>
      <c r="F1683" s="7">
        <v>45792.0</v>
      </c>
    </row>
    <row r="1684">
      <c r="A1684" s="4" t="s">
        <v>3369</v>
      </c>
      <c r="B1684" s="5" t="s">
        <v>3370</v>
      </c>
      <c r="C1684" s="6"/>
      <c r="D1684" s="7">
        <v>45448.0</v>
      </c>
      <c r="E1684" s="7">
        <v>45792.0</v>
      </c>
      <c r="F1684" s="7">
        <v>45792.0</v>
      </c>
    </row>
    <row r="1685">
      <c r="A1685" s="4" t="s">
        <v>3371</v>
      </c>
      <c r="B1685" s="5" t="s">
        <v>3372</v>
      </c>
      <c r="C1685" s="6"/>
      <c r="D1685" s="7">
        <v>45448.0</v>
      </c>
      <c r="E1685" s="7">
        <v>45791.0</v>
      </c>
      <c r="F1685" s="7">
        <v>45791.0</v>
      </c>
    </row>
    <row r="1686">
      <c r="A1686" s="4" t="s">
        <v>3373</v>
      </c>
      <c r="B1686" s="5" t="s">
        <v>3374</v>
      </c>
      <c r="C1686" s="6"/>
      <c r="D1686" s="7">
        <v>45448.0</v>
      </c>
      <c r="E1686" s="7">
        <v>45799.0</v>
      </c>
      <c r="F1686" s="7">
        <v>45799.0</v>
      </c>
    </row>
    <row r="1687">
      <c r="A1687" s="4" t="s">
        <v>3375</v>
      </c>
      <c r="B1687" s="5" t="s">
        <v>3376</v>
      </c>
      <c r="C1687" s="6"/>
      <c r="D1687" s="7">
        <v>45448.0</v>
      </c>
      <c r="E1687" s="7">
        <v>45792.0</v>
      </c>
      <c r="F1687" s="7">
        <v>45792.0</v>
      </c>
    </row>
    <row r="1688">
      <c r="A1688" s="4" t="s">
        <v>3377</v>
      </c>
      <c r="B1688" s="5" t="s">
        <v>3378</v>
      </c>
      <c r="C1688" s="6"/>
      <c r="D1688" s="7">
        <v>45448.0</v>
      </c>
      <c r="E1688" s="7">
        <v>45805.0</v>
      </c>
      <c r="F1688" s="7">
        <v>45805.0</v>
      </c>
    </row>
    <row r="1689">
      <c r="A1689" s="4" t="s">
        <v>3379</v>
      </c>
      <c r="B1689" s="5" t="s">
        <v>3380</v>
      </c>
      <c r="C1689" s="6"/>
      <c r="D1689" s="7">
        <v>45448.0</v>
      </c>
      <c r="E1689" s="7">
        <v>45806.0</v>
      </c>
      <c r="F1689" s="7">
        <v>45806.0</v>
      </c>
    </row>
    <row r="1690">
      <c r="A1690" s="4" t="s">
        <v>3381</v>
      </c>
      <c r="B1690" s="5" t="s">
        <v>3382</v>
      </c>
      <c r="C1690" s="6"/>
      <c r="D1690" s="7">
        <v>45448.0</v>
      </c>
      <c r="E1690" s="7">
        <v>45792.0</v>
      </c>
      <c r="F1690" s="7">
        <v>45792.0</v>
      </c>
    </row>
    <row r="1691">
      <c r="A1691" s="4" t="s">
        <v>3383</v>
      </c>
      <c r="B1691" s="5" t="s">
        <v>3384</v>
      </c>
      <c r="C1691" s="6"/>
      <c r="D1691" s="7">
        <v>45448.0</v>
      </c>
      <c r="E1691" s="7">
        <v>45792.0</v>
      </c>
      <c r="F1691" s="7">
        <v>45792.0</v>
      </c>
    </row>
    <row r="1692">
      <c r="A1692" s="4" t="s">
        <v>3385</v>
      </c>
      <c r="B1692" s="5" t="s">
        <v>3386</v>
      </c>
      <c r="C1692" s="6"/>
      <c r="D1692" s="7">
        <v>45448.0</v>
      </c>
      <c r="E1692" s="7">
        <v>45799.0</v>
      </c>
      <c r="F1692" s="7">
        <v>45799.0</v>
      </c>
    </row>
    <row r="1693">
      <c r="A1693" s="4" t="s">
        <v>3387</v>
      </c>
      <c r="B1693" s="5" t="s">
        <v>3388</v>
      </c>
      <c r="C1693" s="6"/>
      <c r="D1693" s="7">
        <v>45448.0</v>
      </c>
      <c r="E1693" s="7">
        <v>45792.0</v>
      </c>
      <c r="F1693" s="7">
        <v>45792.0</v>
      </c>
    </row>
    <row r="1694">
      <c r="A1694" s="4" t="s">
        <v>3389</v>
      </c>
      <c r="B1694" s="5" t="s">
        <v>3390</v>
      </c>
      <c r="C1694" s="6"/>
      <c r="D1694" s="7">
        <v>45448.0</v>
      </c>
      <c r="E1694" s="7">
        <v>45799.0</v>
      </c>
      <c r="F1694" s="7">
        <v>45799.0</v>
      </c>
    </row>
    <row r="1695">
      <c r="A1695" s="4" t="s">
        <v>3391</v>
      </c>
      <c r="B1695" s="5" t="s">
        <v>3392</v>
      </c>
      <c r="C1695" s="6"/>
      <c r="D1695" s="7">
        <v>45448.0</v>
      </c>
      <c r="E1695" s="7">
        <v>45792.0</v>
      </c>
      <c r="F1695" s="7">
        <v>45792.0</v>
      </c>
    </row>
    <row r="1696">
      <c r="A1696" s="4" t="s">
        <v>3393</v>
      </c>
      <c r="B1696" s="5" t="s">
        <v>3394</v>
      </c>
      <c r="C1696" s="6"/>
      <c r="D1696" s="7">
        <v>45448.0</v>
      </c>
      <c r="E1696" s="7">
        <v>45792.0</v>
      </c>
      <c r="F1696" s="7">
        <v>45792.0</v>
      </c>
    </row>
    <row r="1697">
      <c r="A1697" s="4" t="s">
        <v>3395</v>
      </c>
      <c r="B1697" s="5" t="s">
        <v>3396</v>
      </c>
      <c r="C1697" s="6"/>
      <c r="D1697" s="7">
        <v>45448.0</v>
      </c>
      <c r="E1697" s="7">
        <v>45791.0</v>
      </c>
      <c r="F1697" s="7">
        <v>45791.0</v>
      </c>
    </row>
    <row r="1698">
      <c r="A1698" s="4" t="s">
        <v>3397</v>
      </c>
      <c r="B1698" s="5" t="s">
        <v>3398</v>
      </c>
      <c r="C1698" s="6"/>
      <c r="D1698" s="7">
        <v>45448.0</v>
      </c>
      <c r="E1698" s="7">
        <v>45791.0</v>
      </c>
      <c r="F1698" s="7">
        <v>45791.0</v>
      </c>
    </row>
    <row r="1699">
      <c r="A1699" s="4" t="s">
        <v>3399</v>
      </c>
      <c r="B1699" s="5" t="s">
        <v>3400</v>
      </c>
      <c r="C1699" s="6"/>
      <c r="D1699" s="7">
        <v>45448.0</v>
      </c>
      <c r="E1699" s="7">
        <v>45791.0</v>
      </c>
      <c r="F1699" s="7">
        <v>45791.0</v>
      </c>
    </row>
    <row r="1700">
      <c r="A1700" s="4" t="s">
        <v>3401</v>
      </c>
      <c r="B1700" s="5" t="s">
        <v>3402</v>
      </c>
      <c r="C1700" s="6"/>
      <c r="D1700" s="7">
        <v>45448.0</v>
      </c>
      <c r="E1700" s="7">
        <v>45798.0</v>
      </c>
      <c r="F1700" s="7">
        <v>45798.0</v>
      </c>
    </row>
    <row r="1701">
      <c r="A1701" s="4" t="s">
        <v>3403</v>
      </c>
      <c r="B1701" s="5" t="s">
        <v>3404</v>
      </c>
      <c r="C1701" s="6"/>
      <c r="D1701" s="7">
        <v>45448.0</v>
      </c>
      <c r="E1701" s="7">
        <v>45791.0</v>
      </c>
      <c r="F1701" s="7">
        <v>45791.0</v>
      </c>
    </row>
    <row r="1702">
      <c r="A1702" s="4" t="s">
        <v>3405</v>
      </c>
      <c r="B1702" s="5" t="s">
        <v>3406</v>
      </c>
      <c r="C1702" s="6"/>
      <c r="D1702" s="7">
        <v>45448.0</v>
      </c>
      <c r="E1702" s="7">
        <v>45798.0</v>
      </c>
      <c r="F1702" s="7">
        <v>45798.0</v>
      </c>
    </row>
    <row r="1703">
      <c r="A1703" s="4" t="s">
        <v>3407</v>
      </c>
      <c r="B1703" s="5" t="s">
        <v>3408</v>
      </c>
      <c r="C1703" s="6"/>
      <c r="D1703" s="7">
        <v>45448.0</v>
      </c>
      <c r="E1703" s="7">
        <v>45798.0</v>
      </c>
      <c r="F1703" s="7">
        <v>45798.0</v>
      </c>
    </row>
    <row r="1704">
      <c r="A1704" s="4" t="s">
        <v>3409</v>
      </c>
      <c r="B1704" s="5" t="s">
        <v>3410</v>
      </c>
      <c r="C1704" s="6"/>
      <c r="D1704" s="7">
        <v>45448.0</v>
      </c>
      <c r="E1704" s="7">
        <v>45791.0</v>
      </c>
      <c r="F1704" s="7">
        <v>45791.0</v>
      </c>
    </row>
    <row r="1705">
      <c r="A1705" s="4" t="s">
        <v>3411</v>
      </c>
      <c r="B1705" s="5" t="s">
        <v>3412</v>
      </c>
      <c r="C1705" s="6"/>
      <c r="D1705" s="7">
        <v>45448.0</v>
      </c>
      <c r="E1705" s="7">
        <v>45783.0</v>
      </c>
      <c r="F1705" s="7">
        <v>45783.0</v>
      </c>
    </row>
    <row r="1706">
      <c r="A1706" s="4" t="s">
        <v>3413</v>
      </c>
      <c r="B1706" s="5" t="s">
        <v>3414</v>
      </c>
      <c r="C1706" s="6"/>
      <c r="D1706" s="7">
        <v>45448.0</v>
      </c>
      <c r="E1706" s="7">
        <v>45797.0</v>
      </c>
      <c r="F1706" s="7">
        <v>45797.0</v>
      </c>
    </row>
    <row r="1707">
      <c r="A1707" s="4" t="s">
        <v>3415</v>
      </c>
      <c r="B1707" s="5" t="s">
        <v>3416</v>
      </c>
      <c r="C1707" s="6"/>
      <c r="D1707" s="7">
        <v>45448.0</v>
      </c>
      <c r="E1707" s="7">
        <v>45791.0</v>
      </c>
      <c r="F1707" s="7">
        <v>45791.0</v>
      </c>
    </row>
    <row r="1708">
      <c r="A1708" s="4" t="s">
        <v>3417</v>
      </c>
      <c r="B1708" s="5" t="s">
        <v>3418</v>
      </c>
      <c r="C1708" s="6"/>
      <c r="D1708" s="7">
        <v>45448.0</v>
      </c>
      <c r="E1708" s="7">
        <v>45798.0</v>
      </c>
      <c r="F1708" s="7">
        <v>45798.0</v>
      </c>
    </row>
    <row r="1709">
      <c r="A1709" s="4" t="s">
        <v>3419</v>
      </c>
      <c r="B1709" s="5" t="s">
        <v>3420</v>
      </c>
      <c r="C1709" s="6"/>
      <c r="D1709" s="7">
        <v>45448.0</v>
      </c>
      <c r="E1709" s="7">
        <v>45798.0</v>
      </c>
      <c r="F1709" s="7">
        <v>45798.0</v>
      </c>
    </row>
    <row r="1710">
      <c r="A1710" s="4" t="s">
        <v>3421</v>
      </c>
      <c r="B1710" s="5" t="s">
        <v>3422</v>
      </c>
      <c r="C1710" s="6"/>
      <c r="D1710" s="7">
        <v>45448.0</v>
      </c>
      <c r="E1710" s="7">
        <v>45785.0</v>
      </c>
      <c r="F1710" s="7">
        <v>45785.0</v>
      </c>
    </row>
    <row r="1711">
      <c r="A1711" s="4" t="s">
        <v>3423</v>
      </c>
      <c r="B1711" s="5" t="s">
        <v>3424</v>
      </c>
      <c r="C1711" s="6"/>
      <c r="D1711" s="7">
        <v>45448.0</v>
      </c>
      <c r="E1711" s="7">
        <v>45791.0</v>
      </c>
      <c r="F1711" s="7">
        <v>45791.0</v>
      </c>
    </row>
    <row r="1712">
      <c r="A1712" s="4" t="s">
        <v>3425</v>
      </c>
      <c r="B1712" s="5" t="s">
        <v>3426</v>
      </c>
      <c r="C1712" s="6"/>
      <c r="D1712" s="7">
        <v>45448.0</v>
      </c>
      <c r="E1712" s="7">
        <v>45798.0</v>
      </c>
      <c r="F1712" s="7">
        <v>45798.0</v>
      </c>
    </row>
    <row r="1713">
      <c r="A1713" s="4" t="s">
        <v>3427</v>
      </c>
      <c r="B1713" s="5" t="s">
        <v>3428</v>
      </c>
      <c r="C1713" s="6"/>
      <c r="D1713" s="7">
        <v>45448.0</v>
      </c>
      <c r="E1713" s="7">
        <v>45791.0</v>
      </c>
      <c r="F1713" s="7">
        <v>45791.0</v>
      </c>
    </row>
    <row r="1714">
      <c r="A1714" s="4" t="s">
        <v>3429</v>
      </c>
      <c r="B1714" s="5" t="s">
        <v>3430</v>
      </c>
      <c r="C1714" s="6"/>
      <c r="D1714" s="7">
        <v>45448.0</v>
      </c>
      <c r="E1714" s="7">
        <v>45793.0</v>
      </c>
      <c r="F1714" s="7">
        <v>45793.0</v>
      </c>
    </row>
    <row r="1715">
      <c r="A1715" s="4" t="s">
        <v>3431</v>
      </c>
      <c r="B1715" s="5" t="s">
        <v>3432</v>
      </c>
      <c r="C1715" s="6"/>
      <c r="D1715" s="7">
        <v>45448.0</v>
      </c>
      <c r="E1715" s="7">
        <v>45791.0</v>
      </c>
      <c r="F1715" s="7">
        <v>45791.0</v>
      </c>
    </row>
    <row r="1716">
      <c r="A1716" s="4" t="s">
        <v>3433</v>
      </c>
      <c r="B1716" s="5" t="s">
        <v>3434</v>
      </c>
      <c r="C1716" s="6"/>
      <c r="D1716" s="7">
        <v>45448.0</v>
      </c>
      <c r="E1716" s="7">
        <v>45792.0</v>
      </c>
      <c r="F1716" s="7">
        <v>45792.0</v>
      </c>
    </row>
    <row r="1717">
      <c r="A1717" s="4" t="s">
        <v>3435</v>
      </c>
      <c r="B1717" s="5" t="s">
        <v>3436</v>
      </c>
      <c r="C1717" s="6"/>
      <c r="D1717" s="7">
        <v>45448.0</v>
      </c>
      <c r="E1717" s="7">
        <v>45791.0</v>
      </c>
      <c r="F1717" s="7">
        <v>45791.0</v>
      </c>
    </row>
    <row r="1718">
      <c r="A1718" s="4" t="s">
        <v>3437</v>
      </c>
      <c r="B1718" s="5" t="s">
        <v>3438</v>
      </c>
      <c r="C1718" s="6"/>
      <c r="D1718" s="7">
        <v>45448.0</v>
      </c>
      <c r="E1718" s="7">
        <v>45799.0</v>
      </c>
      <c r="F1718" s="7">
        <v>45799.0</v>
      </c>
    </row>
    <row r="1719">
      <c r="A1719" s="4" t="s">
        <v>3439</v>
      </c>
      <c r="B1719" s="5" t="s">
        <v>3440</v>
      </c>
      <c r="C1719" s="6"/>
      <c r="D1719" s="7">
        <v>45448.0</v>
      </c>
      <c r="E1719" s="7">
        <v>45798.0</v>
      </c>
      <c r="F1719" s="7">
        <v>45798.0</v>
      </c>
    </row>
    <row r="1720">
      <c r="A1720" s="4" t="s">
        <v>3441</v>
      </c>
      <c r="B1720" s="5" t="s">
        <v>3442</v>
      </c>
      <c r="C1720" s="6"/>
      <c r="D1720" s="7">
        <v>45448.0</v>
      </c>
      <c r="E1720" s="7">
        <v>45791.0</v>
      </c>
      <c r="F1720" s="7">
        <v>45791.0</v>
      </c>
    </row>
    <row r="1721">
      <c r="A1721" s="4" t="s">
        <v>3443</v>
      </c>
      <c r="B1721" s="5" t="s">
        <v>3444</v>
      </c>
      <c r="C1721" s="6"/>
      <c r="D1721" s="7">
        <v>45448.0</v>
      </c>
      <c r="E1721" s="7">
        <v>45798.0</v>
      </c>
      <c r="F1721" s="7">
        <v>45798.0</v>
      </c>
    </row>
    <row r="1722">
      <c r="A1722" s="4" t="s">
        <v>3445</v>
      </c>
      <c r="B1722" s="5" t="s">
        <v>3446</v>
      </c>
      <c r="C1722" s="6"/>
      <c r="D1722" s="7">
        <v>45448.0</v>
      </c>
      <c r="E1722" s="7">
        <v>45791.0</v>
      </c>
      <c r="F1722" s="7">
        <v>45791.0</v>
      </c>
    </row>
    <row r="1723">
      <c r="A1723" s="4" t="s">
        <v>3447</v>
      </c>
      <c r="B1723" s="5" t="s">
        <v>3448</v>
      </c>
      <c r="C1723" s="6"/>
      <c r="D1723" s="7">
        <v>45448.0</v>
      </c>
      <c r="E1723" s="7">
        <v>45791.0</v>
      </c>
      <c r="F1723" s="7">
        <v>45791.0</v>
      </c>
    </row>
    <row r="1724">
      <c r="A1724" s="4" t="s">
        <v>3449</v>
      </c>
      <c r="B1724" s="5" t="s">
        <v>3450</v>
      </c>
      <c r="C1724" s="6"/>
      <c r="D1724" s="7">
        <v>45448.0</v>
      </c>
      <c r="E1724" s="7">
        <v>45791.0</v>
      </c>
      <c r="F1724" s="7">
        <v>45791.0</v>
      </c>
    </row>
    <row r="1725">
      <c r="A1725" s="4" t="s">
        <v>3451</v>
      </c>
      <c r="B1725" s="5" t="s">
        <v>3452</v>
      </c>
      <c r="C1725" s="6"/>
      <c r="D1725" s="7">
        <v>45448.0</v>
      </c>
      <c r="E1725" s="7">
        <v>45791.0</v>
      </c>
      <c r="F1725" s="7">
        <v>45791.0</v>
      </c>
    </row>
    <row r="1726">
      <c r="A1726" s="4" t="s">
        <v>3453</v>
      </c>
      <c r="B1726" s="5" t="s">
        <v>3454</v>
      </c>
      <c r="C1726" s="6"/>
      <c r="D1726" s="7">
        <v>45448.0</v>
      </c>
      <c r="E1726" s="7">
        <v>45798.0</v>
      </c>
      <c r="F1726" s="7">
        <v>45798.0</v>
      </c>
    </row>
    <row r="1727">
      <c r="A1727" s="4" t="s">
        <v>3455</v>
      </c>
      <c r="B1727" s="5" t="s">
        <v>3456</v>
      </c>
      <c r="C1727" s="6"/>
      <c r="D1727" s="7">
        <v>45448.0</v>
      </c>
      <c r="E1727" s="7">
        <v>45798.0</v>
      </c>
      <c r="F1727" s="7">
        <v>45798.0</v>
      </c>
    </row>
    <row r="1728">
      <c r="A1728" s="4" t="s">
        <v>3457</v>
      </c>
      <c r="B1728" s="5" t="s">
        <v>3458</v>
      </c>
      <c r="C1728" s="6"/>
      <c r="D1728" s="7">
        <v>45448.0</v>
      </c>
      <c r="E1728" s="7">
        <v>45791.0</v>
      </c>
      <c r="F1728" s="7">
        <v>45791.0</v>
      </c>
    </row>
    <row r="1729">
      <c r="A1729" s="4" t="s">
        <v>3459</v>
      </c>
      <c r="B1729" s="5" t="s">
        <v>3460</v>
      </c>
      <c r="C1729" s="6"/>
      <c r="D1729" s="7">
        <v>45448.0</v>
      </c>
      <c r="E1729" s="7">
        <v>45791.0</v>
      </c>
      <c r="F1729" s="7">
        <v>45791.0</v>
      </c>
    </row>
    <row r="1730">
      <c r="A1730" s="4" t="s">
        <v>3461</v>
      </c>
      <c r="B1730" s="5" t="s">
        <v>3462</v>
      </c>
      <c r="C1730" s="6"/>
      <c r="D1730" s="7">
        <v>45448.0</v>
      </c>
      <c r="E1730" s="7">
        <v>45790.0</v>
      </c>
      <c r="F1730" s="7">
        <v>45790.0</v>
      </c>
    </row>
    <row r="1731">
      <c r="A1731" s="4" t="s">
        <v>3463</v>
      </c>
      <c r="B1731" s="5" t="s">
        <v>3464</v>
      </c>
      <c r="C1731" s="6"/>
      <c r="D1731" s="7">
        <v>45448.0</v>
      </c>
      <c r="E1731" s="7">
        <v>45798.0</v>
      </c>
      <c r="F1731" s="7">
        <v>45798.0</v>
      </c>
    </row>
    <row r="1732">
      <c r="A1732" s="4" t="s">
        <v>3465</v>
      </c>
      <c r="B1732" s="5" t="s">
        <v>3466</v>
      </c>
      <c r="C1732" s="6"/>
      <c r="D1732" s="7">
        <v>45448.0</v>
      </c>
      <c r="E1732" s="7">
        <v>45791.0</v>
      </c>
      <c r="F1732" s="7">
        <v>45791.0</v>
      </c>
    </row>
    <row r="1733">
      <c r="A1733" s="4" t="s">
        <v>3467</v>
      </c>
      <c r="B1733" s="5" t="s">
        <v>3468</v>
      </c>
      <c r="C1733" s="6"/>
      <c r="D1733" s="7">
        <v>45448.0</v>
      </c>
      <c r="E1733" s="7">
        <v>45427.0</v>
      </c>
      <c r="F1733" s="7">
        <v>45427.0</v>
      </c>
    </row>
    <row r="1734">
      <c r="A1734" s="4" t="s">
        <v>3469</v>
      </c>
      <c r="B1734" s="5" t="s">
        <v>3470</v>
      </c>
      <c r="C1734" s="6"/>
      <c r="D1734" s="7">
        <v>45448.0</v>
      </c>
      <c r="E1734" s="7">
        <v>45790.0</v>
      </c>
      <c r="F1734" s="7">
        <v>45790.0</v>
      </c>
    </row>
    <row r="1735">
      <c r="A1735" s="4" t="s">
        <v>3471</v>
      </c>
      <c r="B1735" s="5" t="s">
        <v>3472</v>
      </c>
      <c r="C1735" s="6"/>
      <c r="D1735" s="7">
        <v>45448.0</v>
      </c>
      <c r="E1735" s="7">
        <v>45797.0</v>
      </c>
      <c r="F1735" s="7">
        <v>45797.0</v>
      </c>
    </row>
    <row r="1736">
      <c r="A1736" s="4" t="s">
        <v>3473</v>
      </c>
      <c r="B1736" s="5" t="s">
        <v>3474</v>
      </c>
      <c r="C1736" s="6"/>
      <c r="D1736" s="7">
        <v>45448.0</v>
      </c>
      <c r="E1736" s="7">
        <v>45791.0</v>
      </c>
      <c r="F1736" s="7">
        <v>45791.0</v>
      </c>
    </row>
    <row r="1737">
      <c r="A1737" s="4" t="s">
        <v>3475</v>
      </c>
      <c r="B1737" s="5" t="s">
        <v>3476</v>
      </c>
      <c r="C1737" s="6"/>
      <c r="D1737" s="7">
        <v>45448.0</v>
      </c>
      <c r="E1737" s="7">
        <v>45791.0</v>
      </c>
      <c r="F1737" s="7">
        <v>45791.0</v>
      </c>
    </row>
    <row r="1738">
      <c r="A1738" s="4" t="s">
        <v>3477</v>
      </c>
      <c r="B1738" s="5" t="s">
        <v>3478</v>
      </c>
      <c r="C1738" s="6"/>
      <c r="D1738" s="7">
        <v>45448.0</v>
      </c>
      <c r="E1738" s="7">
        <v>45790.0</v>
      </c>
      <c r="F1738" s="7">
        <v>45790.0</v>
      </c>
    </row>
    <row r="1739">
      <c r="A1739" s="4" t="s">
        <v>3479</v>
      </c>
      <c r="B1739" s="5" t="s">
        <v>3480</v>
      </c>
      <c r="C1739" s="6"/>
      <c r="D1739" s="7">
        <v>45448.0</v>
      </c>
      <c r="E1739" s="7">
        <v>45818.0</v>
      </c>
      <c r="F1739" s="7">
        <v>45818.0</v>
      </c>
    </row>
    <row r="1740">
      <c r="A1740" s="4" t="s">
        <v>3481</v>
      </c>
      <c r="B1740" s="5" t="s">
        <v>3482</v>
      </c>
      <c r="C1740" s="6"/>
      <c r="D1740" s="7">
        <v>45448.0</v>
      </c>
      <c r="E1740" s="7">
        <v>45791.0</v>
      </c>
      <c r="F1740" s="7">
        <v>45791.0</v>
      </c>
    </row>
    <row r="1741">
      <c r="A1741" s="4" t="s">
        <v>3483</v>
      </c>
      <c r="B1741" s="5" t="s">
        <v>3484</v>
      </c>
      <c r="C1741" s="6"/>
      <c r="D1741" s="7">
        <v>45448.0</v>
      </c>
      <c r="E1741" s="7">
        <v>45791.0</v>
      </c>
      <c r="F1741" s="7">
        <v>45791.0</v>
      </c>
    </row>
    <row r="1742">
      <c r="A1742" s="4" t="s">
        <v>3485</v>
      </c>
      <c r="B1742" s="5" t="s">
        <v>3486</v>
      </c>
      <c r="C1742" s="6"/>
      <c r="D1742" s="7">
        <v>45448.0</v>
      </c>
      <c r="E1742" s="7">
        <v>45791.0</v>
      </c>
      <c r="F1742" s="7">
        <v>45791.0</v>
      </c>
    </row>
    <row r="1743">
      <c r="A1743" s="4" t="s">
        <v>3487</v>
      </c>
      <c r="B1743" s="5" t="s">
        <v>3488</v>
      </c>
      <c r="C1743" s="6"/>
      <c r="D1743" s="7">
        <v>45448.0</v>
      </c>
      <c r="E1743" s="7">
        <v>45791.0</v>
      </c>
      <c r="F1743" s="7">
        <v>45791.0</v>
      </c>
    </row>
    <row r="1744">
      <c r="A1744" s="4" t="s">
        <v>3489</v>
      </c>
      <c r="B1744" s="5" t="s">
        <v>3490</v>
      </c>
      <c r="C1744" s="6"/>
      <c r="D1744" s="7">
        <v>45448.0</v>
      </c>
      <c r="E1744" s="7">
        <v>45790.0</v>
      </c>
      <c r="F1744" s="7">
        <v>45790.0</v>
      </c>
    </row>
    <row r="1745">
      <c r="A1745" s="4" t="s">
        <v>3491</v>
      </c>
      <c r="B1745" s="5" t="s">
        <v>3492</v>
      </c>
      <c r="C1745" s="6"/>
      <c r="D1745" s="7">
        <v>45448.0</v>
      </c>
      <c r="E1745" s="7">
        <v>45798.0</v>
      </c>
      <c r="F1745" s="7">
        <v>45798.0</v>
      </c>
    </row>
    <row r="1746">
      <c r="A1746" s="4" t="s">
        <v>3493</v>
      </c>
      <c r="B1746" s="5" t="s">
        <v>3494</v>
      </c>
      <c r="C1746" s="6"/>
      <c r="D1746" s="7">
        <v>45448.0</v>
      </c>
      <c r="E1746" s="7">
        <v>45792.0</v>
      </c>
      <c r="F1746" s="7">
        <v>45792.0</v>
      </c>
    </row>
    <row r="1747">
      <c r="A1747" s="4" t="s">
        <v>3495</v>
      </c>
      <c r="B1747" s="5" t="s">
        <v>3496</v>
      </c>
      <c r="C1747" s="6"/>
      <c r="D1747" s="7">
        <v>45448.0</v>
      </c>
      <c r="E1747" s="7">
        <v>45791.0</v>
      </c>
      <c r="F1747" s="7">
        <v>45791.0</v>
      </c>
    </row>
    <row r="1748">
      <c r="A1748" s="4" t="s">
        <v>3497</v>
      </c>
      <c r="B1748" s="5" t="s">
        <v>3498</v>
      </c>
      <c r="C1748" s="6"/>
      <c r="D1748" s="7">
        <v>45083.0</v>
      </c>
      <c r="E1748" s="7">
        <v>45798.0</v>
      </c>
      <c r="F1748" s="7">
        <v>45798.0</v>
      </c>
    </row>
    <row r="1749">
      <c r="A1749" s="4" t="s">
        <v>3499</v>
      </c>
      <c r="B1749" s="5" t="s">
        <v>3500</v>
      </c>
      <c r="C1749" s="6"/>
      <c r="D1749" s="7">
        <v>45083.0</v>
      </c>
      <c r="E1749" s="7">
        <v>45791.0</v>
      </c>
      <c r="F1749" s="7">
        <v>45791.0</v>
      </c>
    </row>
    <row r="1750">
      <c r="A1750" s="4" t="s">
        <v>3501</v>
      </c>
      <c r="B1750" s="5" t="s">
        <v>3502</v>
      </c>
      <c r="C1750" s="6"/>
      <c r="D1750" s="7">
        <v>45449.0</v>
      </c>
      <c r="E1750" s="7">
        <v>45799.0</v>
      </c>
      <c r="F1750" s="7">
        <v>45799.0</v>
      </c>
    </row>
    <row r="1751">
      <c r="A1751" s="4" t="s">
        <v>3503</v>
      </c>
      <c r="B1751" s="5" t="s">
        <v>3504</v>
      </c>
      <c r="C1751" s="6"/>
      <c r="D1751" s="7">
        <v>45449.0</v>
      </c>
      <c r="E1751" s="7">
        <v>45798.0</v>
      </c>
      <c r="F1751" s="7">
        <v>45798.0</v>
      </c>
    </row>
    <row r="1752">
      <c r="A1752" s="4" t="s">
        <v>3505</v>
      </c>
      <c r="B1752" s="5" t="s">
        <v>3506</v>
      </c>
      <c r="C1752" s="6"/>
      <c r="D1752" s="7">
        <v>45449.0</v>
      </c>
      <c r="E1752" s="7">
        <v>45812.0</v>
      </c>
      <c r="F1752" s="7">
        <v>45812.0</v>
      </c>
    </row>
    <row r="1753">
      <c r="A1753" s="4" t="s">
        <v>3507</v>
      </c>
      <c r="B1753" s="5" t="s">
        <v>3508</v>
      </c>
      <c r="C1753" s="6"/>
      <c r="D1753" s="7">
        <v>45449.0</v>
      </c>
      <c r="E1753" s="7">
        <v>45791.0</v>
      </c>
      <c r="F1753" s="7">
        <v>45791.0</v>
      </c>
    </row>
    <row r="1754">
      <c r="A1754" s="4" t="s">
        <v>3509</v>
      </c>
      <c r="B1754" s="5" t="s">
        <v>3510</v>
      </c>
      <c r="C1754" s="6"/>
      <c r="D1754" s="7">
        <v>45449.0</v>
      </c>
      <c r="E1754" s="7">
        <v>45819.0</v>
      </c>
      <c r="F1754" s="7">
        <v>45819.0</v>
      </c>
    </row>
    <row r="1755">
      <c r="A1755" s="4" t="s">
        <v>3511</v>
      </c>
      <c r="B1755" s="5" t="s">
        <v>3512</v>
      </c>
      <c r="C1755" s="6"/>
      <c r="D1755" s="7">
        <v>45449.0</v>
      </c>
      <c r="E1755" s="7">
        <v>45791.0</v>
      </c>
      <c r="F1755" s="7">
        <v>45791.0</v>
      </c>
    </row>
    <row r="1756">
      <c r="A1756" s="4" t="s">
        <v>3513</v>
      </c>
      <c r="B1756" s="5" t="s">
        <v>3514</v>
      </c>
      <c r="C1756" s="6"/>
      <c r="D1756" s="7">
        <v>45449.0</v>
      </c>
      <c r="E1756" s="7">
        <v>45791.0</v>
      </c>
      <c r="F1756" s="7">
        <v>45791.0</v>
      </c>
    </row>
    <row r="1757">
      <c r="A1757" s="4" t="s">
        <v>3515</v>
      </c>
      <c r="B1757" s="5" t="s">
        <v>3516</v>
      </c>
      <c r="C1757" s="6"/>
      <c r="D1757" s="7">
        <v>45449.0</v>
      </c>
      <c r="E1757" s="7">
        <v>45784.0</v>
      </c>
      <c r="F1757" s="7">
        <v>45784.0</v>
      </c>
    </row>
    <row r="1758">
      <c r="A1758" s="4" t="s">
        <v>3517</v>
      </c>
      <c r="B1758" s="5" t="s">
        <v>3518</v>
      </c>
      <c r="C1758" s="6"/>
      <c r="D1758" s="7">
        <v>45449.0</v>
      </c>
      <c r="E1758" s="7">
        <v>45791.0</v>
      </c>
      <c r="F1758" s="7">
        <v>45791.0</v>
      </c>
    </row>
    <row r="1759">
      <c r="A1759" s="4" t="s">
        <v>3519</v>
      </c>
      <c r="B1759" s="5" t="s">
        <v>3520</v>
      </c>
      <c r="C1759" s="6"/>
      <c r="D1759" s="7">
        <v>45449.0</v>
      </c>
      <c r="E1759" s="7">
        <v>45791.0</v>
      </c>
      <c r="F1759" s="7">
        <v>45791.0</v>
      </c>
    </row>
    <row r="1760">
      <c r="A1760" s="4" t="s">
        <v>3521</v>
      </c>
      <c r="B1760" s="5" t="s">
        <v>3522</v>
      </c>
      <c r="C1760" s="6"/>
      <c r="D1760" s="7">
        <v>45449.0</v>
      </c>
      <c r="E1760" s="7">
        <v>45791.0</v>
      </c>
      <c r="F1760" s="7">
        <v>45791.0</v>
      </c>
    </row>
    <row r="1761">
      <c r="A1761" s="4" t="s">
        <v>3523</v>
      </c>
      <c r="B1761" s="5" t="s">
        <v>3524</v>
      </c>
      <c r="C1761" s="6"/>
      <c r="D1761" s="7">
        <v>45449.0</v>
      </c>
      <c r="E1761" s="7">
        <v>45791.0</v>
      </c>
      <c r="F1761" s="7">
        <v>45791.0</v>
      </c>
    </row>
    <row r="1762">
      <c r="A1762" s="4" t="s">
        <v>3525</v>
      </c>
      <c r="B1762" s="5" t="s">
        <v>3526</v>
      </c>
      <c r="C1762" s="6"/>
      <c r="D1762" s="7">
        <v>45449.0</v>
      </c>
      <c r="E1762" s="7">
        <v>45791.0</v>
      </c>
      <c r="F1762" s="7">
        <v>45791.0</v>
      </c>
    </row>
    <row r="1763">
      <c r="A1763" s="4" t="s">
        <v>3527</v>
      </c>
      <c r="B1763" s="5" t="s">
        <v>3528</v>
      </c>
      <c r="C1763" s="6"/>
      <c r="D1763" s="7">
        <v>45449.0</v>
      </c>
      <c r="E1763" s="7">
        <v>45791.0</v>
      </c>
      <c r="F1763" s="7">
        <v>45791.0</v>
      </c>
    </row>
    <row r="1764">
      <c r="A1764" s="4" t="s">
        <v>3529</v>
      </c>
      <c r="B1764" s="5" t="s">
        <v>3530</v>
      </c>
      <c r="C1764" s="6"/>
      <c r="D1764" s="7">
        <v>45449.0</v>
      </c>
      <c r="E1764" s="7">
        <v>45791.0</v>
      </c>
      <c r="F1764" s="7">
        <v>45791.0</v>
      </c>
    </row>
    <row r="1765">
      <c r="A1765" s="4" t="s">
        <v>3531</v>
      </c>
      <c r="B1765" s="5" t="s">
        <v>3532</v>
      </c>
      <c r="C1765" s="6"/>
      <c r="D1765" s="7">
        <v>45449.0</v>
      </c>
      <c r="E1765" s="7">
        <v>45804.0</v>
      </c>
      <c r="F1765" s="7">
        <v>45804.0</v>
      </c>
    </row>
    <row r="1766">
      <c r="A1766" s="4" t="s">
        <v>3533</v>
      </c>
      <c r="B1766" s="5" t="s">
        <v>3534</v>
      </c>
      <c r="C1766" s="6"/>
      <c r="D1766" s="7">
        <v>45449.0</v>
      </c>
      <c r="E1766" s="7">
        <v>45791.0</v>
      </c>
      <c r="F1766" s="7">
        <v>45791.0</v>
      </c>
    </row>
    <row r="1767">
      <c r="A1767" s="4" t="s">
        <v>3535</v>
      </c>
      <c r="B1767" s="5" t="s">
        <v>3536</v>
      </c>
      <c r="C1767" s="6"/>
      <c r="D1767" s="7">
        <v>45449.0</v>
      </c>
      <c r="E1767" s="7">
        <v>45791.0</v>
      </c>
      <c r="F1767" s="7">
        <v>45791.0</v>
      </c>
    </row>
    <row r="1768">
      <c r="A1768" s="4" t="s">
        <v>3537</v>
      </c>
      <c r="B1768" s="5" t="s">
        <v>3538</v>
      </c>
      <c r="C1768" s="6"/>
      <c r="D1768" s="7">
        <v>45449.0</v>
      </c>
      <c r="E1768" s="7">
        <v>45791.0</v>
      </c>
      <c r="F1768" s="7">
        <v>45791.0</v>
      </c>
    </row>
    <row r="1769">
      <c r="A1769" s="4" t="s">
        <v>3539</v>
      </c>
      <c r="B1769" s="5" t="s">
        <v>3540</v>
      </c>
      <c r="C1769" s="6"/>
      <c r="D1769" s="7">
        <v>45449.0</v>
      </c>
      <c r="E1769" s="7">
        <v>45791.0</v>
      </c>
      <c r="F1769" s="7">
        <v>45791.0</v>
      </c>
    </row>
    <row r="1770">
      <c r="A1770" s="4" t="s">
        <v>3541</v>
      </c>
      <c r="B1770" s="5" t="s">
        <v>3542</v>
      </c>
      <c r="C1770" s="6"/>
      <c r="D1770" s="7">
        <v>45449.0</v>
      </c>
      <c r="E1770" s="7">
        <v>45792.0</v>
      </c>
      <c r="F1770" s="7">
        <v>45792.0</v>
      </c>
    </row>
    <row r="1771">
      <c r="A1771" s="4" t="s">
        <v>3543</v>
      </c>
      <c r="B1771" s="5" t="s">
        <v>3544</v>
      </c>
      <c r="C1771" s="6"/>
      <c r="D1771" s="7">
        <v>45449.0</v>
      </c>
      <c r="E1771" s="7">
        <v>45785.0</v>
      </c>
      <c r="F1771" s="7">
        <v>45785.0</v>
      </c>
    </row>
    <row r="1772">
      <c r="A1772" s="4" t="s">
        <v>3545</v>
      </c>
      <c r="B1772" s="5" t="s">
        <v>3546</v>
      </c>
      <c r="C1772" s="6"/>
      <c r="D1772" s="7">
        <v>45449.0</v>
      </c>
      <c r="E1772" s="7">
        <v>45791.0</v>
      </c>
      <c r="F1772" s="7">
        <v>45791.0</v>
      </c>
    </row>
    <row r="1773">
      <c r="A1773" s="4" t="s">
        <v>3547</v>
      </c>
      <c r="B1773" s="5" t="s">
        <v>3548</v>
      </c>
      <c r="C1773" s="6"/>
      <c r="D1773" s="7">
        <v>45449.0</v>
      </c>
      <c r="E1773" s="7">
        <v>45791.0</v>
      </c>
      <c r="F1773" s="7">
        <v>45791.0</v>
      </c>
    </row>
    <row r="1774">
      <c r="A1774" s="4" t="s">
        <v>3549</v>
      </c>
      <c r="B1774" s="5" t="s">
        <v>3550</v>
      </c>
      <c r="C1774" s="6"/>
      <c r="D1774" s="7">
        <v>45449.0</v>
      </c>
      <c r="E1774" s="7">
        <v>45791.0</v>
      </c>
      <c r="F1774" s="7">
        <v>45791.0</v>
      </c>
    </row>
    <row r="1775">
      <c r="A1775" s="4" t="s">
        <v>3551</v>
      </c>
      <c r="B1775" s="5" t="s">
        <v>3552</v>
      </c>
      <c r="C1775" s="6"/>
      <c r="D1775" s="7">
        <v>45449.0</v>
      </c>
      <c r="E1775" s="7">
        <v>45790.0</v>
      </c>
      <c r="F1775" s="7">
        <v>45790.0</v>
      </c>
    </row>
    <row r="1776">
      <c r="A1776" s="4" t="s">
        <v>3553</v>
      </c>
      <c r="B1776" s="5" t="s">
        <v>3554</v>
      </c>
      <c r="C1776" s="6"/>
      <c r="D1776" s="7">
        <v>45449.0</v>
      </c>
      <c r="E1776" s="7">
        <v>45799.0</v>
      </c>
      <c r="F1776" s="7">
        <v>45799.0</v>
      </c>
    </row>
    <row r="1777">
      <c r="A1777" s="4" t="s">
        <v>3555</v>
      </c>
      <c r="B1777" s="5" t="s">
        <v>3556</v>
      </c>
      <c r="C1777" s="6"/>
      <c r="D1777" s="7">
        <v>45449.0</v>
      </c>
      <c r="E1777" s="7">
        <v>45798.0</v>
      </c>
      <c r="F1777" s="7">
        <v>45798.0</v>
      </c>
    </row>
    <row r="1778">
      <c r="A1778" s="4" t="s">
        <v>3557</v>
      </c>
      <c r="B1778" s="5" t="s">
        <v>3558</v>
      </c>
      <c r="C1778" s="6"/>
      <c r="D1778" s="7">
        <v>45449.0</v>
      </c>
      <c r="E1778" s="7">
        <v>45798.0</v>
      </c>
      <c r="F1778" s="7">
        <v>45798.0</v>
      </c>
    </row>
    <row r="1779">
      <c r="A1779" s="4" t="s">
        <v>3559</v>
      </c>
      <c r="B1779" s="5" t="s">
        <v>3560</v>
      </c>
      <c r="C1779" s="6"/>
      <c r="D1779" s="7">
        <v>45449.0</v>
      </c>
      <c r="E1779" s="7">
        <v>45793.0</v>
      </c>
      <c r="F1779" s="7">
        <v>45793.0</v>
      </c>
    </row>
    <row r="1780">
      <c r="A1780" s="4" t="s">
        <v>3561</v>
      </c>
      <c r="B1780" s="5" t="s">
        <v>3562</v>
      </c>
      <c r="C1780" s="6"/>
      <c r="D1780" s="7">
        <v>45449.0</v>
      </c>
      <c r="E1780" s="7">
        <v>45791.0</v>
      </c>
      <c r="F1780" s="7">
        <v>45791.0</v>
      </c>
    </row>
    <row r="1781">
      <c r="A1781" s="4" t="s">
        <v>3563</v>
      </c>
      <c r="B1781" s="5" t="s">
        <v>3564</v>
      </c>
      <c r="C1781" s="6"/>
      <c r="D1781" s="7">
        <v>45449.0</v>
      </c>
      <c r="E1781" s="7">
        <v>45798.0</v>
      </c>
      <c r="F1781" s="7">
        <v>45798.0</v>
      </c>
    </row>
    <row r="1782">
      <c r="A1782" s="4" t="s">
        <v>3565</v>
      </c>
      <c r="B1782" s="5" t="s">
        <v>3566</v>
      </c>
      <c r="C1782" s="6"/>
      <c r="D1782" s="7">
        <v>45449.0</v>
      </c>
      <c r="E1782" s="7">
        <v>45784.0</v>
      </c>
      <c r="F1782" s="7">
        <v>45784.0</v>
      </c>
    </row>
    <row r="1783">
      <c r="A1783" s="4" t="s">
        <v>3567</v>
      </c>
      <c r="B1783" s="5" t="s">
        <v>3568</v>
      </c>
      <c r="C1783" s="6"/>
      <c r="D1783" s="7">
        <v>45449.0</v>
      </c>
      <c r="E1783" s="7">
        <v>45427.0</v>
      </c>
      <c r="F1783" s="7">
        <v>45427.0</v>
      </c>
    </row>
    <row r="1784">
      <c r="A1784" s="4" t="s">
        <v>3569</v>
      </c>
      <c r="B1784" s="5" t="s">
        <v>3570</v>
      </c>
      <c r="C1784" s="6"/>
      <c r="D1784" s="7">
        <v>45449.0</v>
      </c>
      <c r="E1784" s="7">
        <v>45791.0</v>
      </c>
      <c r="F1784" s="7">
        <v>45791.0</v>
      </c>
    </row>
    <row r="1785">
      <c r="A1785" s="4" t="s">
        <v>3571</v>
      </c>
      <c r="B1785" s="5" t="s">
        <v>3572</v>
      </c>
      <c r="C1785" s="6"/>
      <c r="D1785" s="7">
        <v>45449.0</v>
      </c>
      <c r="E1785" s="7">
        <v>45791.0</v>
      </c>
      <c r="F1785" s="7">
        <v>45791.0</v>
      </c>
    </row>
    <row r="1786">
      <c r="A1786" s="4" t="s">
        <v>3573</v>
      </c>
      <c r="B1786" s="5" t="s">
        <v>3574</v>
      </c>
      <c r="C1786" s="6"/>
      <c r="D1786" s="7">
        <v>45449.0</v>
      </c>
      <c r="E1786" s="7">
        <v>45783.0</v>
      </c>
      <c r="F1786" s="7">
        <v>45783.0</v>
      </c>
    </row>
    <row r="1787">
      <c r="A1787" s="4" t="s">
        <v>3575</v>
      </c>
      <c r="B1787" s="5" t="s">
        <v>3576</v>
      </c>
      <c r="C1787" s="6"/>
      <c r="D1787" s="7">
        <v>45449.0</v>
      </c>
      <c r="E1787" s="7">
        <v>45791.0</v>
      </c>
      <c r="F1787" s="7">
        <v>45791.0</v>
      </c>
    </row>
    <row r="1788">
      <c r="A1788" s="4" t="s">
        <v>3577</v>
      </c>
      <c r="B1788" s="5" t="s">
        <v>3578</v>
      </c>
      <c r="C1788" s="6"/>
      <c r="D1788" s="7">
        <v>45449.0</v>
      </c>
      <c r="E1788" s="7">
        <v>45798.0</v>
      </c>
      <c r="F1788" s="7">
        <v>45798.0</v>
      </c>
    </row>
    <row r="1789">
      <c r="A1789" s="4" t="s">
        <v>3579</v>
      </c>
      <c r="B1789" s="5" t="s">
        <v>3580</v>
      </c>
      <c r="C1789" s="6"/>
      <c r="D1789" s="7">
        <v>45449.0</v>
      </c>
      <c r="E1789" s="7">
        <v>45791.0</v>
      </c>
      <c r="F1789" s="7">
        <v>45791.0</v>
      </c>
    </row>
    <row r="1790">
      <c r="A1790" s="4" t="s">
        <v>3581</v>
      </c>
      <c r="B1790" s="5" t="s">
        <v>3582</v>
      </c>
      <c r="C1790" s="6"/>
      <c r="D1790" s="7">
        <v>45449.0</v>
      </c>
      <c r="E1790" s="7">
        <v>45798.0</v>
      </c>
      <c r="F1790" s="7">
        <v>45798.0</v>
      </c>
    </row>
    <row r="1791">
      <c r="A1791" s="4" t="s">
        <v>3583</v>
      </c>
      <c r="B1791" s="5" t="s">
        <v>3584</v>
      </c>
      <c r="C1791" s="6"/>
      <c r="D1791" s="7">
        <v>45449.0</v>
      </c>
      <c r="E1791" s="7">
        <v>45792.0</v>
      </c>
      <c r="F1791" s="7">
        <v>45792.0</v>
      </c>
    </row>
    <row r="1792">
      <c r="A1792" s="4" t="s">
        <v>3585</v>
      </c>
      <c r="B1792" s="5" t="s">
        <v>3586</v>
      </c>
      <c r="C1792" s="6"/>
      <c r="D1792" s="7">
        <v>45449.0</v>
      </c>
      <c r="E1792" s="7">
        <v>45792.0</v>
      </c>
      <c r="F1792" s="7">
        <v>45792.0</v>
      </c>
    </row>
    <row r="1793">
      <c r="A1793" s="4" t="s">
        <v>3587</v>
      </c>
      <c r="B1793" s="5" t="s">
        <v>3588</v>
      </c>
      <c r="C1793" s="6"/>
      <c r="D1793" s="7">
        <v>45449.0</v>
      </c>
      <c r="E1793" s="7">
        <v>45791.0</v>
      </c>
      <c r="F1793" s="7">
        <v>45791.0</v>
      </c>
    </row>
    <row r="1794">
      <c r="A1794" s="4" t="s">
        <v>3589</v>
      </c>
      <c r="B1794" s="5" t="s">
        <v>3590</v>
      </c>
      <c r="C1794" s="6"/>
      <c r="D1794" s="7">
        <v>45449.0</v>
      </c>
      <c r="E1794" s="7">
        <v>45791.0</v>
      </c>
      <c r="F1794" s="7">
        <v>45791.0</v>
      </c>
    </row>
    <row r="1795">
      <c r="A1795" s="4" t="s">
        <v>3591</v>
      </c>
      <c r="B1795" s="5" t="s">
        <v>3592</v>
      </c>
      <c r="C1795" s="6"/>
      <c r="D1795" s="7">
        <v>45449.0</v>
      </c>
      <c r="E1795" s="7">
        <v>45821.0</v>
      </c>
      <c r="F1795" s="7">
        <v>45821.0</v>
      </c>
    </row>
    <row r="1796">
      <c r="A1796" s="4" t="s">
        <v>3593</v>
      </c>
      <c r="B1796" s="5" t="s">
        <v>3594</v>
      </c>
      <c r="C1796" s="6"/>
      <c r="D1796" s="7">
        <v>45449.0</v>
      </c>
      <c r="E1796" s="7">
        <v>45791.0</v>
      </c>
      <c r="F1796" s="7">
        <v>45791.0</v>
      </c>
    </row>
    <row r="1797">
      <c r="A1797" s="4" t="s">
        <v>3595</v>
      </c>
      <c r="B1797" s="5" t="s">
        <v>3596</v>
      </c>
      <c r="C1797" s="6"/>
      <c r="D1797" s="7">
        <v>45449.0</v>
      </c>
      <c r="E1797" s="7">
        <v>45791.0</v>
      </c>
      <c r="F1797" s="7">
        <v>45791.0</v>
      </c>
    </row>
    <row r="1798">
      <c r="A1798" s="4" t="s">
        <v>3597</v>
      </c>
      <c r="B1798" s="5" t="s">
        <v>3598</v>
      </c>
      <c r="C1798" s="6"/>
      <c r="D1798" s="7">
        <v>45449.0</v>
      </c>
      <c r="E1798" s="7">
        <v>45797.0</v>
      </c>
      <c r="F1798" s="7">
        <v>45797.0</v>
      </c>
    </row>
    <row r="1799">
      <c r="A1799" s="4" t="s">
        <v>3599</v>
      </c>
      <c r="B1799" s="5" t="s">
        <v>3600</v>
      </c>
      <c r="C1799" s="6"/>
      <c r="D1799" s="7">
        <v>45449.0</v>
      </c>
      <c r="E1799" s="7">
        <v>45790.0</v>
      </c>
      <c r="F1799" s="7">
        <v>45790.0</v>
      </c>
    </row>
    <row r="1800">
      <c r="A1800" s="4" t="s">
        <v>3601</v>
      </c>
      <c r="B1800" s="5" t="s">
        <v>3602</v>
      </c>
      <c r="C1800" s="6"/>
      <c r="D1800" s="7">
        <v>45449.0</v>
      </c>
      <c r="E1800" s="7">
        <v>45790.0</v>
      </c>
      <c r="F1800" s="7">
        <v>45790.0</v>
      </c>
    </row>
    <row r="1801">
      <c r="A1801" s="4" t="s">
        <v>3603</v>
      </c>
      <c r="B1801" s="5" t="s">
        <v>3604</v>
      </c>
      <c r="C1801" s="6"/>
      <c r="D1801" s="7">
        <v>45449.0</v>
      </c>
      <c r="E1801" s="7">
        <v>45792.0</v>
      </c>
      <c r="F1801" s="7">
        <v>45792.0</v>
      </c>
    </row>
    <row r="1802">
      <c r="A1802" s="4" t="s">
        <v>3605</v>
      </c>
      <c r="B1802" s="5" t="s">
        <v>3606</v>
      </c>
      <c r="C1802" s="6"/>
      <c r="D1802" s="7">
        <v>45449.0</v>
      </c>
      <c r="E1802" s="7">
        <v>45790.0</v>
      </c>
      <c r="F1802" s="7">
        <v>45790.0</v>
      </c>
    </row>
    <row r="1803">
      <c r="A1803" s="4" t="s">
        <v>3607</v>
      </c>
      <c r="B1803" s="5" t="s">
        <v>3608</v>
      </c>
      <c r="C1803" s="6"/>
      <c r="D1803" s="7">
        <v>45449.0</v>
      </c>
      <c r="E1803" s="7">
        <v>45806.0</v>
      </c>
      <c r="F1803" s="7">
        <v>45806.0</v>
      </c>
    </row>
    <row r="1804">
      <c r="A1804" s="4" t="s">
        <v>3609</v>
      </c>
      <c r="B1804" s="5" t="s">
        <v>3610</v>
      </c>
      <c r="C1804" s="6"/>
      <c r="D1804" s="7">
        <v>45449.0</v>
      </c>
      <c r="E1804" s="7">
        <v>45790.0</v>
      </c>
      <c r="F1804" s="7">
        <v>45790.0</v>
      </c>
    </row>
    <row r="1805">
      <c r="A1805" s="4" t="s">
        <v>3611</v>
      </c>
      <c r="B1805" s="5" t="s">
        <v>3612</v>
      </c>
      <c r="C1805" s="6"/>
      <c r="D1805" s="7">
        <v>45449.0</v>
      </c>
      <c r="E1805" s="7">
        <v>45790.0</v>
      </c>
      <c r="F1805" s="7">
        <v>45790.0</v>
      </c>
    </row>
    <row r="1806">
      <c r="A1806" s="4" t="s">
        <v>3613</v>
      </c>
      <c r="B1806" s="5" t="s">
        <v>3614</v>
      </c>
      <c r="C1806" s="6"/>
      <c r="D1806" s="7">
        <v>45449.0</v>
      </c>
      <c r="E1806" s="7">
        <v>45790.0</v>
      </c>
      <c r="F1806" s="7">
        <v>45790.0</v>
      </c>
    </row>
    <row r="1807">
      <c r="A1807" s="4" t="s">
        <v>3615</v>
      </c>
      <c r="B1807" s="5" t="s">
        <v>3616</v>
      </c>
      <c r="C1807" s="6"/>
      <c r="D1807" s="7">
        <v>45449.0</v>
      </c>
      <c r="E1807" s="7">
        <v>45792.0</v>
      </c>
      <c r="F1807" s="7">
        <v>45792.0</v>
      </c>
    </row>
    <row r="1808">
      <c r="A1808" s="4" t="s">
        <v>3617</v>
      </c>
      <c r="B1808" s="5" t="s">
        <v>3618</v>
      </c>
      <c r="C1808" s="6"/>
      <c r="D1808" s="7">
        <v>45449.0</v>
      </c>
      <c r="E1808" s="7">
        <v>45790.0</v>
      </c>
      <c r="F1808" s="7">
        <v>45790.0</v>
      </c>
    </row>
    <row r="1809">
      <c r="A1809" s="4" t="s">
        <v>3619</v>
      </c>
      <c r="B1809" s="5" t="s">
        <v>3620</v>
      </c>
      <c r="C1809" s="6"/>
      <c r="D1809" s="7">
        <v>45449.0</v>
      </c>
      <c r="E1809" s="7">
        <v>45790.0</v>
      </c>
      <c r="F1809" s="7">
        <v>45790.0</v>
      </c>
    </row>
    <row r="1810">
      <c r="A1810" s="4" t="s">
        <v>3621</v>
      </c>
      <c r="B1810" s="5" t="s">
        <v>3622</v>
      </c>
      <c r="C1810" s="6"/>
      <c r="D1810" s="7">
        <v>45449.0</v>
      </c>
      <c r="E1810" s="7">
        <v>45791.0</v>
      </c>
      <c r="F1810" s="7">
        <v>45791.0</v>
      </c>
    </row>
    <row r="1811">
      <c r="A1811" s="4" t="s">
        <v>3623</v>
      </c>
      <c r="B1811" s="5" t="s">
        <v>3624</v>
      </c>
      <c r="C1811" s="6"/>
      <c r="D1811" s="7">
        <v>45449.0</v>
      </c>
      <c r="E1811" s="7">
        <v>45790.0</v>
      </c>
      <c r="F1811" s="7">
        <v>45790.0</v>
      </c>
    </row>
    <row r="1812">
      <c r="A1812" s="4" t="s">
        <v>3625</v>
      </c>
      <c r="B1812" s="5" t="s">
        <v>3626</v>
      </c>
      <c r="C1812" s="6"/>
      <c r="D1812" s="7">
        <v>45449.0</v>
      </c>
      <c r="E1812" s="7">
        <v>45799.0</v>
      </c>
      <c r="F1812" s="7">
        <v>45799.0</v>
      </c>
    </row>
    <row r="1813">
      <c r="A1813" s="4" t="s">
        <v>3627</v>
      </c>
      <c r="B1813" s="5" t="s">
        <v>3628</v>
      </c>
      <c r="C1813" s="6"/>
      <c r="D1813" s="7">
        <v>45449.0</v>
      </c>
      <c r="E1813" s="7">
        <v>45790.0</v>
      </c>
      <c r="F1813" s="7">
        <v>45790.0</v>
      </c>
    </row>
    <row r="1814">
      <c r="A1814" s="4" t="s">
        <v>3629</v>
      </c>
      <c r="B1814" s="5" t="s">
        <v>3630</v>
      </c>
      <c r="C1814" s="6"/>
      <c r="D1814" s="7">
        <v>45449.0</v>
      </c>
      <c r="E1814" s="7">
        <v>45790.0</v>
      </c>
      <c r="F1814" s="7">
        <v>45790.0</v>
      </c>
    </row>
    <row r="1815">
      <c r="A1815" s="4" t="s">
        <v>3631</v>
      </c>
      <c r="B1815" s="5" t="s">
        <v>3632</v>
      </c>
      <c r="C1815" s="6"/>
      <c r="D1815" s="7">
        <v>45449.0</v>
      </c>
      <c r="E1815" s="7">
        <v>45791.0</v>
      </c>
      <c r="F1815" s="7">
        <v>45791.0</v>
      </c>
    </row>
    <row r="1816">
      <c r="A1816" s="4" t="s">
        <v>3633</v>
      </c>
      <c r="B1816" s="5" t="s">
        <v>3634</v>
      </c>
      <c r="C1816" s="6"/>
      <c r="D1816" s="7">
        <v>45449.0</v>
      </c>
      <c r="E1816" s="7">
        <v>45790.0</v>
      </c>
      <c r="F1816" s="7">
        <v>45790.0</v>
      </c>
    </row>
    <row r="1817">
      <c r="A1817" s="4" t="s">
        <v>3635</v>
      </c>
      <c r="B1817" s="5" t="s">
        <v>3636</v>
      </c>
      <c r="C1817" s="6"/>
      <c r="D1817" s="7">
        <v>45449.0</v>
      </c>
      <c r="E1817" s="7">
        <v>45790.0</v>
      </c>
      <c r="F1817" s="7">
        <v>45790.0</v>
      </c>
    </row>
    <row r="1818">
      <c r="A1818" s="4" t="s">
        <v>3637</v>
      </c>
      <c r="B1818" s="5" t="s">
        <v>3638</v>
      </c>
      <c r="C1818" s="6"/>
      <c r="D1818" s="7">
        <v>45449.0</v>
      </c>
      <c r="E1818" s="7">
        <v>45799.0</v>
      </c>
      <c r="F1818" s="7">
        <v>45799.0</v>
      </c>
    </row>
    <row r="1819">
      <c r="A1819" s="4" t="s">
        <v>3639</v>
      </c>
      <c r="B1819" s="5" t="s">
        <v>3640</v>
      </c>
      <c r="C1819" s="6"/>
      <c r="D1819" s="7">
        <v>45449.0</v>
      </c>
      <c r="E1819" s="7">
        <v>45790.0</v>
      </c>
      <c r="F1819" s="7">
        <v>45790.0</v>
      </c>
    </row>
    <row r="1820">
      <c r="A1820" s="4" t="s">
        <v>3641</v>
      </c>
      <c r="B1820" s="5" t="s">
        <v>3642</v>
      </c>
      <c r="C1820" s="6"/>
      <c r="D1820" s="7">
        <v>45449.0</v>
      </c>
      <c r="E1820" s="7">
        <v>45426.0</v>
      </c>
      <c r="F1820" s="7">
        <v>45426.0</v>
      </c>
    </row>
    <row r="1821">
      <c r="A1821" s="4" t="s">
        <v>3643</v>
      </c>
      <c r="B1821" s="5" t="s">
        <v>3644</v>
      </c>
      <c r="C1821" s="6"/>
      <c r="D1821" s="7">
        <v>45449.0</v>
      </c>
      <c r="E1821" s="7">
        <v>45797.0</v>
      </c>
      <c r="F1821" s="7">
        <v>45797.0</v>
      </c>
    </row>
    <row r="1822">
      <c r="A1822" s="4" t="s">
        <v>3645</v>
      </c>
      <c r="B1822" s="5" t="s">
        <v>3646</v>
      </c>
      <c r="C1822" s="6"/>
      <c r="D1822" s="7">
        <v>45449.0</v>
      </c>
      <c r="E1822" s="7">
        <v>45791.0</v>
      </c>
      <c r="F1822" s="7">
        <v>45791.0</v>
      </c>
    </row>
    <row r="1823">
      <c r="A1823" s="4" t="s">
        <v>3647</v>
      </c>
      <c r="B1823" s="5" t="s">
        <v>3648</v>
      </c>
      <c r="C1823" s="6"/>
      <c r="D1823" s="7">
        <v>45449.0</v>
      </c>
      <c r="E1823" s="7">
        <v>45790.0</v>
      </c>
      <c r="F1823" s="7">
        <v>45790.0</v>
      </c>
    </row>
    <row r="1824">
      <c r="A1824" s="4" t="s">
        <v>3649</v>
      </c>
      <c r="B1824" s="5" t="s">
        <v>3650</v>
      </c>
      <c r="C1824" s="6"/>
      <c r="D1824" s="7">
        <v>45449.0</v>
      </c>
      <c r="E1824" s="7">
        <v>45790.0</v>
      </c>
      <c r="F1824" s="7">
        <v>45790.0</v>
      </c>
    </row>
    <row r="1825">
      <c r="A1825" s="4" t="s">
        <v>3651</v>
      </c>
      <c r="B1825" s="5" t="s">
        <v>3652</v>
      </c>
      <c r="C1825" s="6"/>
      <c r="D1825" s="7">
        <v>45449.0</v>
      </c>
      <c r="E1825" s="7">
        <v>45790.0</v>
      </c>
      <c r="F1825" s="7">
        <v>45790.0</v>
      </c>
    </row>
    <row r="1826">
      <c r="A1826" s="4" t="s">
        <v>3653</v>
      </c>
      <c r="B1826" s="5" t="s">
        <v>3654</v>
      </c>
      <c r="C1826" s="6"/>
      <c r="D1826" s="7">
        <v>45449.0</v>
      </c>
      <c r="E1826" s="7">
        <v>45797.0</v>
      </c>
      <c r="F1826" s="7">
        <v>45797.0</v>
      </c>
    </row>
    <row r="1827">
      <c r="A1827" s="4" t="s">
        <v>3655</v>
      </c>
      <c r="B1827" s="5" t="s">
        <v>3656</v>
      </c>
      <c r="C1827" s="6"/>
      <c r="D1827" s="7">
        <v>45449.0</v>
      </c>
      <c r="E1827" s="7">
        <v>45792.0</v>
      </c>
      <c r="F1827" s="7">
        <v>45792.0</v>
      </c>
    </row>
    <row r="1828">
      <c r="A1828" s="4" t="s">
        <v>3657</v>
      </c>
      <c r="B1828" s="5" t="s">
        <v>3658</v>
      </c>
      <c r="C1828" s="6"/>
      <c r="D1828" s="7">
        <v>45449.0</v>
      </c>
      <c r="E1828" s="7">
        <v>45790.0</v>
      </c>
      <c r="F1828" s="7">
        <v>45790.0</v>
      </c>
    </row>
    <row r="1829">
      <c r="A1829" s="4" t="s">
        <v>3659</v>
      </c>
      <c r="B1829" s="5" t="s">
        <v>3660</v>
      </c>
      <c r="C1829" s="6"/>
      <c r="D1829" s="7">
        <v>45449.0</v>
      </c>
      <c r="E1829" s="7">
        <v>45798.0</v>
      </c>
      <c r="F1829" s="7">
        <v>45798.0</v>
      </c>
    </row>
    <row r="1830">
      <c r="A1830" s="4" t="s">
        <v>3661</v>
      </c>
      <c r="B1830" s="5" t="s">
        <v>3662</v>
      </c>
      <c r="C1830" s="6"/>
      <c r="D1830" s="7">
        <v>45449.0</v>
      </c>
      <c r="E1830" s="7">
        <v>45797.0</v>
      </c>
      <c r="F1830" s="7">
        <v>45797.0</v>
      </c>
    </row>
    <row r="1831">
      <c r="A1831" s="4" t="s">
        <v>3663</v>
      </c>
      <c r="B1831" s="5" t="s">
        <v>3664</v>
      </c>
      <c r="C1831" s="6"/>
      <c r="D1831" s="7">
        <v>45449.0</v>
      </c>
      <c r="E1831" s="7">
        <v>45792.0</v>
      </c>
      <c r="F1831" s="7">
        <v>45792.0</v>
      </c>
    </row>
    <row r="1832">
      <c r="A1832" s="4" t="s">
        <v>3665</v>
      </c>
      <c r="B1832" s="5" t="s">
        <v>3666</v>
      </c>
      <c r="C1832" s="6"/>
      <c r="D1832" s="7">
        <v>45449.0</v>
      </c>
      <c r="E1832" s="7">
        <v>45790.0</v>
      </c>
      <c r="F1832" s="7">
        <v>45790.0</v>
      </c>
    </row>
    <row r="1833">
      <c r="A1833" s="4" t="s">
        <v>3667</v>
      </c>
      <c r="B1833" s="5" t="s">
        <v>3668</v>
      </c>
      <c r="C1833" s="6"/>
      <c r="D1833" s="7">
        <v>45449.0</v>
      </c>
      <c r="E1833" s="7">
        <v>45790.0</v>
      </c>
      <c r="F1833" s="7">
        <v>45790.0</v>
      </c>
    </row>
    <row r="1834">
      <c r="A1834" s="4" t="s">
        <v>3669</v>
      </c>
      <c r="B1834" s="5" t="s">
        <v>3670</v>
      </c>
      <c r="C1834" s="6"/>
      <c r="D1834" s="7">
        <v>45449.0</v>
      </c>
      <c r="E1834" s="7">
        <v>45790.0</v>
      </c>
      <c r="F1834" s="7">
        <v>45790.0</v>
      </c>
    </row>
    <row r="1835">
      <c r="A1835" s="4" t="s">
        <v>3671</v>
      </c>
      <c r="B1835" s="5" t="s">
        <v>3672</v>
      </c>
      <c r="C1835" s="6"/>
      <c r="D1835" s="7">
        <v>45449.0</v>
      </c>
      <c r="E1835" s="7">
        <v>45790.0</v>
      </c>
      <c r="F1835" s="7">
        <v>45790.0</v>
      </c>
    </row>
    <row r="1836">
      <c r="A1836" s="4" t="s">
        <v>3673</v>
      </c>
      <c r="B1836" s="5" t="s">
        <v>3674</v>
      </c>
      <c r="C1836" s="6"/>
      <c r="D1836" s="7">
        <v>45449.0</v>
      </c>
      <c r="E1836" s="7">
        <v>45790.0</v>
      </c>
      <c r="F1836" s="7">
        <v>45790.0</v>
      </c>
    </row>
    <row r="1837">
      <c r="A1837" s="4" t="s">
        <v>3675</v>
      </c>
      <c r="B1837" s="5" t="s">
        <v>3676</v>
      </c>
      <c r="C1837" s="6"/>
      <c r="D1837" s="7">
        <v>45449.0</v>
      </c>
      <c r="E1837" s="7">
        <v>45818.0</v>
      </c>
      <c r="F1837" s="7">
        <v>45818.0</v>
      </c>
    </row>
    <row r="1838">
      <c r="A1838" s="4" t="s">
        <v>3677</v>
      </c>
      <c r="B1838" s="5" t="s">
        <v>3678</v>
      </c>
      <c r="C1838" s="6"/>
      <c r="D1838" s="7">
        <v>45449.0</v>
      </c>
      <c r="E1838" s="7">
        <v>45790.0</v>
      </c>
      <c r="F1838" s="7">
        <v>45790.0</v>
      </c>
    </row>
    <row r="1839">
      <c r="A1839" s="4" t="s">
        <v>3679</v>
      </c>
      <c r="B1839" s="5" t="s">
        <v>3680</v>
      </c>
      <c r="C1839" s="6"/>
      <c r="D1839" s="7">
        <v>45449.0</v>
      </c>
      <c r="E1839" s="7">
        <v>45790.0</v>
      </c>
      <c r="F1839" s="7">
        <v>45790.0</v>
      </c>
    </row>
    <row r="1840">
      <c r="A1840" s="4" t="s">
        <v>3681</v>
      </c>
      <c r="B1840" s="5" t="s">
        <v>3682</v>
      </c>
      <c r="C1840" s="6"/>
      <c r="D1840" s="7">
        <v>45449.0</v>
      </c>
      <c r="E1840" s="7">
        <v>45790.0</v>
      </c>
      <c r="F1840" s="7">
        <v>45790.0</v>
      </c>
    </row>
    <row r="1841">
      <c r="A1841" s="4" t="s">
        <v>3683</v>
      </c>
      <c r="B1841" s="5" t="s">
        <v>3684</v>
      </c>
      <c r="C1841" s="6"/>
      <c r="D1841" s="7">
        <v>45449.0</v>
      </c>
      <c r="E1841" s="7">
        <v>45792.0</v>
      </c>
      <c r="F1841" s="7">
        <v>45792.0</v>
      </c>
    </row>
    <row r="1842">
      <c r="A1842" s="4" t="s">
        <v>3685</v>
      </c>
      <c r="B1842" s="5" t="s">
        <v>3686</v>
      </c>
      <c r="C1842" s="6"/>
      <c r="D1842" s="7">
        <v>45449.0</v>
      </c>
      <c r="E1842" s="7">
        <v>45790.0</v>
      </c>
      <c r="F1842" s="7">
        <v>45790.0</v>
      </c>
    </row>
    <row r="1843">
      <c r="A1843" s="4" t="s">
        <v>3687</v>
      </c>
      <c r="B1843" s="5" t="s">
        <v>3688</v>
      </c>
      <c r="C1843" s="6"/>
      <c r="D1843" s="7">
        <v>45449.0</v>
      </c>
      <c r="E1843" s="7">
        <v>45426.0</v>
      </c>
      <c r="F1843" s="7">
        <v>45426.0</v>
      </c>
    </row>
    <row r="1844">
      <c r="A1844" s="4" t="s">
        <v>3689</v>
      </c>
      <c r="B1844" s="5" t="s">
        <v>3690</v>
      </c>
      <c r="C1844" s="6"/>
      <c r="D1844" s="7">
        <v>45449.0</v>
      </c>
      <c r="E1844" s="7">
        <v>45791.0</v>
      </c>
      <c r="F1844" s="7">
        <v>45791.0</v>
      </c>
    </row>
    <row r="1845">
      <c r="A1845" s="4" t="s">
        <v>3691</v>
      </c>
      <c r="B1845" s="5" t="s">
        <v>3692</v>
      </c>
      <c r="C1845" s="6"/>
      <c r="D1845" s="7">
        <v>45449.0</v>
      </c>
      <c r="E1845" s="7">
        <v>45804.0</v>
      </c>
      <c r="F1845" s="7">
        <v>45804.0</v>
      </c>
    </row>
    <row r="1846">
      <c r="A1846" s="4" t="s">
        <v>3693</v>
      </c>
      <c r="B1846" s="5" t="s">
        <v>3694</v>
      </c>
      <c r="C1846" s="6"/>
      <c r="D1846" s="7">
        <v>45449.0</v>
      </c>
      <c r="E1846" s="7">
        <v>45426.0</v>
      </c>
      <c r="F1846" s="7">
        <v>45426.0</v>
      </c>
    </row>
    <row r="1847">
      <c r="A1847" s="4" t="s">
        <v>3695</v>
      </c>
      <c r="B1847" s="5" t="s">
        <v>3696</v>
      </c>
      <c r="C1847" s="6"/>
      <c r="D1847" s="7">
        <v>45449.0</v>
      </c>
      <c r="E1847" s="7">
        <v>45792.0</v>
      </c>
      <c r="F1847" s="7">
        <v>45792.0</v>
      </c>
    </row>
    <row r="1848">
      <c r="A1848" s="4" t="s">
        <v>3697</v>
      </c>
      <c r="B1848" s="5" t="s">
        <v>3698</v>
      </c>
      <c r="C1848" s="6"/>
      <c r="D1848" s="7">
        <v>45450.0</v>
      </c>
      <c r="E1848" s="7">
        <v>45792.0</v>
      </c>
      <c r="F1848" s="7">
        <v>45792.0</v>
      </c>
    </row>
    <row r="1849">
      <c r="A1849" s="4" t="s">
        <v>3699</v>
      </c>
      <c r="B1849" s="5" t="s">
        <v>3700</v>
      </c>
      <c r="C1849" s="6"/>
      <c r="D1849" s="7">
        <v>45450.0</v>
      </c>
      <c r="E1849" s="7">
        <v>45426.0</v>
      </c>
      <c r="F1849" s="7">
        <v>45426.0</v>
      </c>
    </row>
    <row r="1850">
      <c r="A1850" s="4" t="s">
        <v>3701</v>
      </c>
      <c r="B1850" s="5" t="s">
        <v>3702</v>
      </c>
      <c r="C1850" s="6"/>
      <c r="D1850" s="7">
        <v>45450.0</v>
      </c>
      <c r="E1850" s="7">
        <v>45790.0</v>
      </c>
      <c r="F1850" s="7">
        <v>45790.0</v>
      </c>
    </row>
    <row r="1851">
      <c r="A1851" s="4" t="s">
        <v>3703</v>
      </c>
      <c r="B1851" s="5" t="s">
        <v>3704</v>
      </c>
      <c r="C1851" s="6"/>
      <c r="D1851" s="7">
        <v>45450.0</v>
      </c>
      <c r="E1851" s="7">
        <v>45796.0</v>
      </c>
      <c r="F1851" s="7">
        <v>45796.0</v>
      </c>
    </row>
    <row r="1852">
      <c r="A1852" s="4" t="s">
        <v>3705</v>
      </c>
      <c r="B1852" s="5" t="s">
        <v>3706</v>
      </c>
      <c r="C1852" s="6"/>
      <c r="D1852" s="7">
        <v>45450.0</v>
      </c>
      <c r="E1852" s="7">
        <v>45791.0</v>
      </c>
      <c r="F1852" s="7">
        <v>45791.0</v>
      </c>
    </row>
    <row r="1853">
      <c r="A1853" s="4" t="s">
        <v>3707</v>
      </c>
      <c r="B1853" s="5" t="s">
        <v>3708</v>
      </c>
      <c r="C1853" s="6"/>
      <c r="D1853" s="7">
        <v>45450.0</v>
      </c>
      <c r="E1853" s="7">
        <v>45790.0</v>
      </c>
      <c r="F1853" s="7">
        <v>45790.0</v>
      </c>
    </row>
    <row r="1854">
      <c r="A1854" s="4" t="s">
        <v>3709</v>
      </c>
      <c r="B1854" s="5" t="s">
        <v>3710</v>
      </c>
      <c r="C1854" s="6"/>
      <c r="D1854" s="7">
        <v>45450.0</v>
      </c>
      <c r="E1854" s="7">
        <v>45799.0</v>
      </c>
      <c r="F1854" s="7">
        <v>45799.0</v>
      </c>
    </row>
    <row r="1855">
      <c r="A1855" s="4" t="s">
        <v>3711</v>
      </c>
      <c r="B1855" s="5" t="s">
        <v>3712</v>
      </c>
      <c r="C1855" s="6"/>
      <c r="D1855" s="7">
        <v>45450.0</v>
      </c>
      <c r="E1855" s="7">
        <v>45798.0</v>
      </c>
      <c r="F1855" s="7">
        <v>45798.0</v>
      </c>
    </row>
    <row r="1856">
      <c r="A1856" s="4" t="s">
        <v>3713</v>
      </c>
      <c r="B1856" s="5" t="s">
        <v>3714</v>
      </c>
      <c r="C1856" s="6"/>
      <c r="D1856" s="7">
        <v>45450.0</v>
      </c>
      <c r="E1856" s="7">
        <v>45798.0</v>
      </c>
      <c r="F1856" s="7">
        <v>45798.0</v>
      </c>
    </row>
    <row r="1857">
      <c r="A1857" s="4" t="s">
        <v>3715</v>
      </c>
      <c r="B1857" s="5" t="s">
        <v>3716</v>
      </c>
      <c r="C1857" s="6"/>
      <c r="D1857" s="7">
        <v>45450.0</v>
      </c>
      <c r="E1857" s="7">
        <v>45791.0</v>
      </c>
      <c r="F1857" s="7">
        <v>45791.0</v>
      </c>
    </row>
    <row r="1858">
      <c r="A1858" s="4" t="s">
        <v>3717</v>
      </c>
      <c r="B1858" s="5" t="s">
        <v>3718</v>
      </c>
      <c r="C1858" s="6"/>
      <c r="D1858" s="7">
        <v>45450.0</v>
      </c>
      <c r="E1858" s="7">
        <v>45790.0</v>
      </c>
      <c r="F1858" s="7">
        <v>45790.0</v>
      </c>
    </row>
    <row r="1859">
      <c r="A1859" s="4" t="s">
        <v>3719</v>
      </c>
      <c r="B1859" s="5" t="s">
        <v>3720</v>
      </c>
      <c r="C1859" s="6"/>
      <c r="D1859" s="7">
        <v>45450.0</v>
      </c>
      <c r="E1859" s="7">
        <v>45790.0</v>
      </c>
      <c r="F1859" s="7">
        <v>45790.0</v>
      </c>
    </row>
    <row r="1860">
      <c r="A1860" s="4" t="s">
        <v>3721</v>
      </c>
      <c r="B1860" s="5" t="s">
        <v>3722</v>
      </c>
      <c r="C1860" s="6"/>
      <c r="D1860" s="7">
        <v>45450.0</v>
      </c>
      <c r="E1860" s="7">
        <v>45790.0</v>
      </c>
      <c r="F1860" s="7">
        <v>45790.0</v>
      </c>
    </row>
    <row r="1861">
      <c r="A1861" s="4" t="s">
        <v>3723</v>
      </c>
      <c r="B1861" s="5" t="s">
        <v>3724</v>
      </c>
      <c r="C1861" s="6"/>
      <c r="D1861" s="7">
        <v>45450.0</v>
      </c>
      <c r="E1861" s="7">
        <v>45825.0</v>
      </c>
      <c r="F1861" s="7">
        <v>45825.0</v>
      </c>
    </row>
    <row r="1862">
      <c r="A1862" s="4" t="s">
        <v>3725</v>
      </c>
      <c r="B1862" s="5" t="s">
        <v>3726</v>
      </c>
      <c r="C1862" s="6"/>
      <c r="D1862" s="7">
        <v>45450.0</v>
      </c>
      <c r="E1862" s="7">
        <v>45797.0</v>
      </c>
      <c r="F1862" s="7">
        <v>45797.0</v>
      </c>
    </row>
    <row r="1863">
      <c r="A1863" s="4" t="s">
        <v>3727</v>
      </c>
      <c r="B1863" s="5" t="s">
        <v>3728</v>
      </c>
      <c r="C1863" s="6"/>
      <c r="D1863" s="7">
        <v>45450.0</v>
      </c>
      <c r="E1863" s="7">
        <v>45789.0</v>
      </c>
      <c r="F1863" s="7">
        <v>45789.0</v>
      </c>
    </row>
    <row r="1864">
      <c r="A1864" s="4" t="s">
        <v>3729</v>
      </c>
      <c r="B1864" s="5" t="s">
        <v>3730</v>
      </c>
      <c r="C1864" s="6"/>
      <c r="D1864" s="7">
        <v>45450.0</v>
      </c>
      <c r="E1864" s="7">
        <v>45789.0</v>
      </c>
      <c r="F1864" s="7">
        <v>45789.0</v>
      </c>
    </row>
    <row r="1865">
      <c r="A1865" s="4" t="s">
        <v>3731</v>
      </c>
      <c r="B1865" s="5" t="s">
        <v>3732</v>
      </c>
      <c r="C1865" s="6"/>
      <c r="D1865" s="7">
        <v>45450.0</v>
      </c>
      <c r="E1865" s="7">
        <v>45796.0</v>
      </c>
      <c r="F1865" s="7">
        <v>45796.0</v>
      </c>
    </row>
    <row r="1866">
      <c r="A1866" s="4" t="s">
        <v>3733</v>
      </c>
      <c r="B1866" s="5" t="s">
        <v>3734</v>
      </c>
      <c r="C1866" s="6"/>
      <c r="D1866" s="7">
        <v>45450.0</v>
      </c>
      <c r="E1866" s="7">
        <v>45792.0</v>
      </c>
      <c r="F1866" s="7">
        <v>45792.0</v>
      </c>
    </row>
    <row r="1867">
      <c r="A1867" s="4" t="s">
        <v>3735</v>
      </c>
      <c r="B1867" s="5" t="s">
        <v>3736</v>
      </c>
      <c r="C1867" s="6"/>
      <c r="D1867" s="7">
        <v>45450.0</v>
      </c>
      <c r="E1867" s="7">
        <v>45791.0</v>
      </c>
      <c r="F1867" s="7">
        <v>45791.0</v>
      </c>
    </row>
    <row r="1868">
      <c r="A1868" s="4" t="s">
        <v>3737</v>
      </c>
      <c r="B1868" s="5" t="s">
        <v>3738</v>
      </c>
      <c r="C1868" s="6"/>
      <c r="D1868" s="7">
        <v>45450.0</v>
      </c>
      <c r="E1868" s="7">
        <v>45789.0</v>
      </c>
      <c r="F1868" s="7">
        <v>45789.0</v>
      </c>
    </row>
    <row r="1869">
      <c r="A1869" s="4" t="s">
        <v>3739</v>
      </c>
      <c r="B1869" s="5" t="s">
        <v>3740</v>
      </c>
      <c r="C1869" s="6"/>
      <c r="D1869" s="7">
        <v>45450.0</v>
      </c>
      <c r="E1869" s="7">
        <v>45791.0</v>
      </c>
      <c r="F1869" s="7">
        <v>45791.0</v>
      </c>
    </row>
    <row r="1870">
      <c r="A1870" s="4" t="s">
        <v>3741</v>
      </c>
      <c r="B1870" s="5" t="s">
        <v>3742</v>
      </c>
      <c r="C1870" s="6"/>
      <c r="D1870" s="7">
        <v>45450.0</v>
      </c>
      <c r="E1870" s="7">
        <v>45796.0</v>
      </c>
      <c r="F1870" s="7">
        <v>45796.0</v>
      </c>
    </row>
    <row r="1871">
      <c r="A1871" s="4" t="s">
        <v>3743</v>
      </c>
      <c r="B1871" s="5" t="s">
        <v>3744</v>
      </c>
      <c r="C1871" s="6"/>
      <c r="D1871" s="7">
        <v>45450.0</v>
      </c>
      <c r="E1871" s="7">
        <v>45789.0</v>
      </c>
      <c r="F1871" s="7">
        <v>45789.0</v>
      </c>
    </row>
    <row r="1872">
      <c r="A1872" s="4" t="s">
        <v>3745</v>
      </c>
      <c r="B1872" s="5" t="s">
        <v>3746</v>
      </c>
      <c r="C1872" s="6"/>
      <c r="D1872" s="7">
        <v>45450.0</v>
      </c>
      <c r="E1872" s="7">
        <v>45789.0</v>
      </c>
      <c r="F1872" s="7">
        <v>45789.0</v>
      </c>
    </row>
    <row r="1873">
      <c r="A1873" s="4" t="s">
        <v>3747</v>
      </c>
      <c r="B1873" s="5" t="s">
        <v>3748</v>
      </c>
      <c r="C1873" s="6"/>
      <c r="D1873" s="7">
        <v>45450.0</v>
      </c>
      <c r="E1873" s="7">
        <v>45796.0</v>
      </c>
      <c r="F1873" s="7">
        <v>45796.0</v>
      </c>
    </row>
    <row r="1874">
      <c r="A1874" s="4" t="s">
        <v>3749</v>
      </c>
      <c r="B1874" s="5" t="s">
        <v>3750</v>
      </c>
      <c r="C1874" s="6"/>
      <c r="D1874" s="7">
        <v>45450.0</v>
      </c>
      <c r="E1874" s="7">
        <v>45789.0</v>
      </c>
      <c r="F1874" s="7">
        <v>45789.0</v>
      </c>
    </row>
    <row r="1875">
      <c r="A1875" s="4" t="s">
        <v>3751</v>
      </c>
      <c r="B1875" s="5" t="s">
        <v>3752</v>
      </c>
      <c r="C1875" s="6"/>
      <c r="D1875" s="7">
        <v>45450.0</v>
      </c>
      <c r="E1875" s="7">
        <v>45796.0</v>
      </c>
      <c r="F1875" s="7">
        <v>45796.0</v>
      </c>
    </row>
    <row r="1876">
      <c r="A1876" s="4" t="s">
        <v>3753</v>
      </c>
      <c r="B1876" s="5" t="s">
        <v>3754</v>
      </c>
      <c r="C1876" s="6"/>
      <c r="D1876" s="7">
        <v>45450.0</v>
      </c>
      <c r="E1876" s="7">
        <v>45792.0</v>
      </c>
      <c r="F1876" s="7">
        <v>45792.0</v>
      </c>
    </row>
    <row r="1877">
      <c r="A1877" s="4" t="s">
        <v>3755</v>
      </c>
      <c r="B1877" s="5" t="s">
        <v>3756</v>
      </c>
      <c r="C1877" s="6"/>
      <c r="D1877" s="7">
        <v>45450.0</v>
      </c>
      <c r="E1877" s="7">
        <v>45806.0</v>
      </c>
      <c r="F1877" s="7">
        <v>45806.0</v>
      </c>
    </row>
    <row r="1878">
      <c r="A1878" s="4" t="s">
        <v>3757</v>
      </c>
      <c r="B1878" s="5" t="s">
        <v>3758</v>
      </c>
      <c r="C1878" s="6"/>
      <c r="D1878" s="7">
        <v>45450.0</v>
      </c>
      <c r="E1878" s="7">
        <v>45772.0</v>
      </c>
      <c r="F1878" s="7">
        <v>45772.0</v>
      </c>
    </row>
    <row r="1879">
      <c r="A1879" s="4" t="s">
        <v>3759</v>
      </c>
      <c r="B1879" s="5" t="s">
        <v>3760</v>
      </c>
      <c r="C1879" s="6"/>
      <c r="D1879" s="7">
        <v>45086.0</v>
      </c>
      <c r="E1879" s="7">
        <v>45790.0</v>
      </c>
      <c r="F1879" s="7">
        <v>45790.0</v>
      </c>
    </row>
    <row r="1880">
      <c r="A1880" s="4" t="s">
        <v>3761</v>
      </c>
      <c r="B1880" s="5" t="s">
        <v>3762</v>
      </c>
      <c r="C1880" s="6"/>
      <c r="D1880" s="7">
        <v>45453.0</v>
      </c>
      <c r="E1880" s="7">
        <v>45806.0</v>
      </c>
      <c r="F1880" s="7">
        <v>45806.0</v>
      </c>
    </row>
    <row r="1881">
      <c r="A1881" s="4" t="s">
        <v>3763</v>
      </c>
      <c r="B1881" s="5" t="s">
        <v>3764</v>
      </c>
      <c r="C1881" s="6"/>
      <c r="D1881" s="7">
        <v>45453.0</v>
      </c>
      <c r="E1881" s="7">
        <v>45797.0</v>
      </c>
      <c r="F1881" s="7">
        <v>45797.0</v>
      </c>
    </row>
    <row r="1882">
      <c r="A1882" s="4" t="s">
        <v>3765</v>
      </c>
      <c r="B1882" s="5" t="s">
        <v>3766</v>
      </c>
      <c r="C1882" s="6"/>
      <c r="D1882" s="7">
        <v>45453.0</v>
      </c>
      <c r="E1882" s="7">
        <v>45786.0</v>
      </c>
      <c r="F1882" s="7">
        <v>45786.0</v>
      </c>
    </row>
    <row r="1883">
      <c r="A1883" s="4" t="s">
        <v>3767</v>
      </c>
      <c r="B1883" s="5" t="s">
        <v>3768</v>
      </c>
      <c r="C1883" s="6"/>
      <c r="D1883" s="7">
        <v>45453.0</v>
      </c>
      <c r="E1883" s="7">
        <v>45786.0</v>
      </c>
      <c r="F1883" s="7">
        <v>45786.0</v>
      </c>
    </row>
    <row r="1884">
      <c r="A1884" s="4" t="s">
        <v>3769</v>
      </c>
      <c r="B1884" s="5" t="s">
        <v>3770</v>
      </c>
      <c r="C1884" s="6"/>
      <c r="D1884" s="7">
        <v>45453.0</v>
      </c>
      <c r="E1884" s="7">
        <v>45786.0</v>
      </c>
      <c r="F1884" s="7">
        <v>45786.0</v>
      </c>
    </row>
    <row r="1885">
      <c r="A1885" s="4" t="s">
        <v>3771</v>
      </c>
      <c r="B1885" s="5" t="s">
        <v>3772</v>
      </c>
      <c r="C1885" s="6"/>
      <c r="D1885" s="7">
        <v>45453.0</v>
      </c>
      <c r="E1885" s="7">
        <v>45786.0</v>
      </c>
      <c r="F1885" s="7">
        <v>45786.0</v>
      </c>
    </row>
    <row r="1886">
      <c r="A1886" s="4" t="s">
        <v>3773</v>
      </c>
      <c r="B1886" s="5" t="s">
        <v>3774</v>
      </c>
      <c r="C1886" s="6"/>
      <c r="D1886" s="7">
        <v>45453.0</v>
      </c>
      <c r="E1886" s="7">
        <v>45790.0</v>
      </c>
      <c r="F1886" s="7">
        <v>45790.0</v>
      </c>
    </row>
    <row r="1887">
      <c r="A1887" s="4" t="s">
        <v>3775</v>
      </c>
      <c r="B1887" s="5" t="s">
        <v>3776</v>
      </c>
      <c r="C1887" s="6"/>
      <c r="D1887" s="7">
        <v>45453.0</v>
      </c>
      <c r="E1887" s="7">
        <v>45806.0</v>
      </c>
      <c r="F1887" s="7">
        <v>45806.0</v>
      </c>
    </row>
    <row r="1888">
      <c r="A1888" s="4" t="s">
        <v>3777</v>
      </c>
      <c r="B1888" s="5" t="s">
        <v>3778</v>
      </c>
      <c r="C1888" s="6"/>
      <c r="D1888" s="7">
        <v>45453.0</v>
      </c>
      <c r="E1888" s="7">
        <v>45786.0</v>
      </c>
      <c r="F1888" s="7">
        <v>45786.0</v>
      </c>
    </row>
    <row r="1889">
      <c r="A1889" s="4" t="s">
        <v>3779</v>
      </c>
      <c r="B1889" s="5" t="s">
        <v>3780</v>
      </c>
      <c r="C1889" s="6"/>
      <c r="D1889" s="7">
        <v>45453.0</v>
      </c>
      <c r="E1889" s="7">
        <v>45786.0</v>
      </c>
      <c r="F1889" s="7">
        <v>45786.0</v>
      </c>
    </row>
    <row r="1890">
      <c r="A1890" s="4" t="s">
        <v>3781</v>
      </c>
      <c r="B1890" s="5" t="s">
        <v>3782</v>
      </c>
      <c r="C1890" s="6"/>
      <c r="D1890" s="7">
        <v>45453.0</v>
      </c>
      <c r="E1890" s="7">
        <v>45806.0</v>
      </c>
      <c r="F1890" s="7">
        <v>45806.0</v>
      </c>
    </row>
    <row r="1891">
      <c r="A1891" s="4" t="s">
        <v>3783</v>
      </c>
      <c r="B1891" s="5" t="s">
        <v>3784</v>
      </c>
      <c r="C1891" s="6"/>
      <c r="D1891" s="7">
        <v>45453.0</v>
      </c>
      <c r="E1891" s="7">
        <v>45786.0</v>
      </c>
      <c r="F1891" s="7">
        <v>45786.0</v>
      </c>
    </row>
    <row r="1892">
      <c r="A1892" s="4" t="s">
        <v>3785</v>
      </c>
      <c r="B1892" s="5" t="s">
        <v>3786</v>
      </c>
      <c r="C1892" s="6"/>
      <c r="D1892" s="7">
        <v>45453.0</v>
      </c>
      <c r="E1892" s="7">
        <v>45797.0</v>
      </c>
      <c r="F1892" s="7">
        <v>45797.0</v>
      </c>
    </row>
    <row r="1893">
      <c r="A1893" s="4" t="s">
        <v>3787</v>
      </c>
      <c r="B1893" s="5" t="s">
        <v>3788</v>
      </c>
      <c r="C1893" s="6"/>
      <c r="D1893" s="7">
        <v>45453.0</v>
      </c>
      <c r="E1893" s="7">
        <v>45791.0</v>
      </c>
      <c r="F1893" s="7">
        <v>45791.0</v>
      </c>
    </row>
    <row r="1894">
      <c r="A1894" s="4" t="s">
        <v>3789</v>
      </c>
      <c r="B1894" s="5" t="s">
        <v>3790</v>
      </c>
      <c r="C1894" s="6"/>
      <c r="D1894" s="7">
        <v>45453.0</v>
      </c>
      <c r="E1894" s="7">
        <v>45784.0</v>
      </c>
      <c r="F1894" s="7">
        <v>45784.0</v>
      </c>
    </row>
    <row r="1895">
      <c r="A1895" s="4" t="s">
        <v>3791</v>
      </c>
      <c r="B1895" s="5" t="s">
        <v>3792</v>
      </c>
      <c r="C1895" s="6"/>
      <c r="D1895" s="7">
        <v>45453.0</v>
      </c>
      <c r="E1895" s="7">
        <v>45786.0</v>
      </c>
      <c r="F1895" s="7">
        <v>45786.0</v>
      </c>
    </row>
    <row r="1896">
      <c r="A1896" s="4" t="s">
        <v>3793</v>
      </c>
      <c r="B1896" s="5" t="s">
        <v>3794</v>
      </c>
      <c r="C1896" s="6"/>
      <c r="D1896" s="7">
        <v>45453.0</v>
      </c>
      <c r="E1896" s="7">
        <v>45783.0</v>
      </c>
      <c r="F1896" s="7">
        <v>45783.0</v>
      </c>
    </row>
    <row r="1897">
      <c r="A1897" s="4" t="s">
        <v>3795</v>
      </c>
      <c r="B1897" s="5" t="s">
        <v>3796</v>
      </c>
      <c r="C1897" s="6"/>
      <c r="D1897" s="7">
        <v>45453.0</v>
      </c>
      <c r="E1897" s="7">
        <v>45786.0</v>
      </c>
      <c r="F1897" s="7">
        <v>45786.0</v>
      </c>
    </row>
    <row r="1898">
      <c r="A1898" s="4" t="s">
        <v>3797</v>
      </c>
      <c r="B1898" s="5" t="s">
        <v>3798</v>
      </c>
      <c r="C1898" s="6"/>
      <c r="D1898" s="7">
        <v>45454.0</v>
      </c>
      <c r="E1898" s="7">
        <v>45785.0</v>
      </c>
      <c r="F1898" s="7">
        <v>45785.0</v>
      </c>
    </row>
    <row r="1899">
      <c r="A1899" s="4" t="s">
        <v>3799</v>
      </c>
      <c r="B1899" s="5" t="s">
        <v>3800</v>
      </c>
      <c r="C1899" s="6"/>
      <c r="D1899" s="7">
        <v>45454.0</v>
      </c>
      <c r="E1899" s="7">
        <v>45792.0</v>
      </c>
      <c r="F1899" s="7">
        <v>45792.0</v>
      </c>
    </row>
    <row r="1900">
      <c r="A1900" s="4" t="s">
        <v>3801</v>
      </c>
      <c r="B1900" s="5" t="s">
        <v>3802</v>
      </c>
      <c r="C1900" s="6"/>
      <c r="D1900" s="7">
        <v>45454.0</v>
      </c>
      <c r="E1900" s="7">
        <v>45790.0</v>
      </c>
      <c r="F1900" s="7">
        <v>45790.0</v>
      </c>
    </row>
    <row r="1901">
      <c r="A1901" s="4" t="s">
        <v>3803</v>
      </c>
      <c r="B1901" s="5" t="s">
        <v>3804</v>
      </c>
      <c r="C1901" s="6"/>
      <c r="D1901" s="7">
        <v>45454.0</v>
      </c>
      <c r="E1901" s="7">
        <v>45786.0</v>
      </c>
      <c r="F1901" s="7">
        <v>45786.0</v>
      </c>
    </row>
    <row r="1902">
      <c r="A1902" s="4" t="s">
        <v>3805</v>
      </c>
      <c r="B1902" s="5" t="s">
        <v>3806</v>
      </c>
      <c r="C1902" s="6"/>
      <c r="D1902" s="7">
        <v>45454.0</v>
      </c>
      <c r="E1902" s="7">
        <v>45786.0</v>
      </c>
      <c r="F1902" s="7">
        <v>45786.0</v>
      </c>
    </row>
    <row r="1903">
      <c r="A1903" s="4" t="s">
        <v>3807</v>
      </c>
      <c r="B1903" s="5" t="s">
        <v>3808</v>
      </c>
      <c r="C1903" s="6"/>
      <c r="D1903" s="7">
        <v>45454.0</v>
      </c>
      <c r="E1903" s="7">
        <v>45793.0</v>
      </c>
      <c r="F1903" s="7">
        <v>45793.0</v>
      </c>
    </row>
    <row r="1904">
      <c r="A1904" s="4" t="s">
        <v>3809</v>
      </c>
      <c r="B1904" s="5" t="s">
        <v>3810</v>
      </c>
      <c r="C1904" s="6"/>
      <c r="D1904" s="7">
        <v>45454.0</v>
      </c>
      <c r="E1904" s="7">
        <v>45786.0</v>
      </c>
      <c r="F1904" s="7">
        <v>45786.0</v>
      </c>
    </row>
    <row r="1905">
      <c r="A1905" s="4" t="s">
        <v>3811</v>
      </c>
      <c r="B1905" s="5" t="s">
        <v>3812</v>
      </c>
      <c r="C1905" s="6"/>
      <c r="D1905" s="7">
        <v>45454.0</v>
      </c>
      <c r="E1905" s="7">
        <v>45756.0</v>
      </c>
      <c r="F1905" s="7">
        <v>45756.0</v>
      </c>
    </row>
    <row r="1906">
      <c r="A1906" s="4" t="s">
        <v>3813</v>
      </c>
      <c r="B1906" s="5" t="s">
        <v>3814</v>
      </c>
      <c r="C1906" s="6"/>
      <c r="D1906" s="7">
        <v>45454.0</v>
      </c>
      <c r="E1906" s="7">
        <v>45786.0</v>
      </c>
      <c r="F1906" s="7">
        <v>45786.0</v>
      </c>
    </row>
    <row r="1907">
      <c r="A1907" s="4" t="s">
        <v>3815</v>
      </c>
      <c r="B1907" s="5" t="s">
        <v>3816</v>
      </c>
      <c r="C1907" s="6"/>
      <c r="D1907" s="7">
        <v>45454.0</v>
      </c>
      <c r="E1907" s="7">
        <v>45810.0</v>
      </c>
      <c r="F1907" s="7">
        <v>45810.0</v>
      </c>
    </row>
    <row r="1908">
      <c r="A1908" s="4" t="s">
        <v>3817</v>
      </c>
      <c r="B1908" s="5" t="s">
        <v>3818</v>
      </c>
      <c r="C1908" s="6"/>
      <c r="D1908" s="7">
        <v>45454.0</v>
      </c>
      <c r="E1908" s="7">
        <v>45799.0</v>
      </c>
      <c r="F1908" s="7">
        <v>45799.0</v>
      </c>
    </row>
    <row r="1909">
      <c r="A1909" s="4" t="s">
        <v>3819</v>
      </c>
      <c r="B1909" s="5" t="s">
        <v>3820</v>
      </c>
      <c r="C1909" s="6"/>
      <c r="D1909" s="7">
        <v>45454.0</v>
      </c>
      <c r="E1909" s="7">
        <v>45785.0</v>
      </c>
      <c r="F1909" s="7">
        <v>45785.0</v>
      </c>
    </row>
    <row r="1910">
      <c r="A1910" s="4" t="s">
        <v>3821</v>
      </c>
      <c r="B1910" s="5" t="s">
        <v>3822</v>
      </c>
      <c r="C1910" s="6"/>
      <c r="D1910" s="7">
        <v>45454.0</v>
      </c>
      <c r="E1910" s="7">
        <v>45785.0</v>
      </c>
      <c r="F1910" s="7">
        <v>45785.0</v>
      </c>
    </row>
    <row r="1911">
      <c r="A1911" s="4" t="s">
        <v>3823</v>
      </c>
      <c r="B1911" s="5" t="s">
        <v>3824</v>
      </c>
      <c r="C1911" s="6"/>
      <c r="D1911" s="7">
        <v>45454.0</v>
      </c>
      <c r="E1911" s="7">
        <v>45785.0</v>
      </c>
      <c r="F1911" s="7">
        <v>45785.0</v>
      </c>
    </row>
    <row r="1912">
      <c r="A1912" s="4" t="s">
        <v>3825</v>
      </c>
      <c r="B1912" s="5" t="s">
        <v>3826</v>
      </c>
      <c r="C1912" s="6"/>
      <c r="D1912" s="7">
        <v>45454.0</v>
      </c>
      <c r="E1912" s="7">
        <v>45778.0</v>
      </c>
      <c r="F1912" s="7">
        <v>45778.0</v>
      </c>
    </row>
    <row r="1913">
      <c r="A1913" s="4" t="s">
        <v>3827</v>
      </c>
      <c r="B1913" s="5" t="s">
        <v>3828</v>
      </c>
      <c r="C1913" s="6"/>
      <c r="D1913" s="7">
        <v>45454.0</v>
      </c>
      <c r="E1913" s="7">
        <v>45785.0</v>
      </c>
      <c r="F1913" s="7">
        <v>45785.0</v>
      </c>
    </row>
    <row r="1914">
      <c r="A1914" s="4" t="s">
        <v>3829</v>
      </c>
      <c r="B1914" s="5" t="s">
        <v>3830</v>
      </c>
      <c r="C1914" s="6"/>
      <c r="D1914" s="7">
        <v>45454.0</v>
      </c>
      <c r="E1914" s="7">
        <v>45790.0</v>
      </c>
      <c r="F1914" s="7">
        <v>45790.0</v>
      </c>
    </row>
    <row r="1915">
      <c r="A1915" s="4" t="s">
        <v>3831</v>
      </c>
      <c r="B1915" s="5" t="s">
        <v>3832</v>
      </c>
      <c r="C1915" s="6"/>
      <c r="D1915" s="7">
        <v>45454.0</v>
      </c>
      <c r="E1915" s="7">
        <v>45785.0</v>
      </c>
      <c r="F1915" s="7">
        <v>45785.0</v>
      </c>
    </row>
    <row r="1916">
      <c r="A1916" s="4" t="s">
        <v>3833</v>
      </c>
      <c r="B1916" s="5" t="s">
        <v>3834</v>
      </c>
      <c r="C1916" s="6"/>
      <c r="D1916" s="7">
        <v>45454.0</v>
      </c>
      <c r="E1916" s="7">
        <v>45421.0</v>
      </c>
      <c r="F1916" s="7">
        <v>45421.0</v>
      </c>
    </row>
    <row r="1917">
      <c r="A1917" s="4" t="s">
        <v>3835</v>
      </c>
      <c r="B1917" s="5" t="s">
        <v>3836</v>
      </c>
      <c r="C1917" s="6"/>
      <c r="D1917" s="7">
        <v>45454.0</v>
      </c>
      <c r="E1917" s="7">
        <v>45785.0</v>
      </c>
      <c r="F1917" s="7">
        <v>45785.0</v>
      </c>
    </row>
    <row r="1918">
      <c r="A1918" s="4" t="s">
        <v>3837</v>
      </c>
      <c r="B1918" s="5" t="s">
        <v>3838</v>
      </c>
      <c r="C1918" s="6"/>
      <c r="D1918" s="7">
        <v>45454.0</v>
      </c>
      <c r="E1918" s="7">
        <v>45785.0</v>
      </c>
      <c r="F1918" s="7">
        <v>45785.0</v>
      </c>
    </row>
    <row r="1919">
      <c r="A1919" s="4" t="s">
        <v>3839</v>
      </c>
      <c r="B1919" s="5" t="s">
        <v>3840</v>
      </c>
      <c r="C1919" s="6"/>
      <c r="D1919" s="7">
        <v>45454.0</v>
      </c>
      <c r="E1919" s="7">
        <v>45784.0</v>
      </c>
      <c r="F1919" s="7">
        <v>45784.0</v>
      </c>
    </row>
    <row r="1920">
      <c r="A1920" s="4" t="s">
        <v>3841</v>
      </c>
      <c r="B1920" s="5" t="s">
        <v>3842</v>
      </c>
      <c r="C1920" s="6"/>
      <c r="D1920" s="7">
        <v>45454.0</v>
      </c>
      <c r="E1920" s="7">
        <v>45792.0</v>
      </c>
      <c r="F1920" s="7">
        <v>45792.0</v>
      </c>
    </row>
    <row r="1921">
      <c r="A1921" s="4" t="s">
        <v>3843</v>
      </c>
      <c r="B1921" s="5" t="s">
        <v>3844</v>
      </c>
      <c r="C1921" s="6"/>
      <c r="D1921" s="7">
        <v>45454.0</v>
      </c>
      <c r="E1921" s="7">
        <v>45785.0</v>
      </c>
      <c r="F1921" s="7">
        <v>45785.0</v>
      </c>
    </row>
    <row r="1922">
      <c r="A1922" s="4" t="s">
        <v>3845</v>
      </c>
      <c r="B1922" s="5" t="s">
        <v>3846</v>
      </c>
      <c r="C1922" s="6"/>
      <c r="D1922" s="7">
        <v>45454.0</v>
      </c>
      <c r="E1922" s="7">
        <v>45785.0</v>
      </c>
      <c r="F1922" s="7">
        <v>45785.0</v>
      </c>
    </row>
    <row r="1923">
      <c r="A1923" s="4" t="s">
        <v>3847</v>
      </c>
      <c r="B1923" s="5" t="s">
        <v>3848</v>
      </c>
      <c r="C1923" s="6"/>
      <c r="D1923" s="7">
        <v>45454.0</v>
      </c>
      <c r="E1923" s="7">
        <v>45778.0</v>
      </c>
      <c r="F1923" s="7">
        <v>45778.0</v>
      </c>
    </row>
    <row r="1924">
      <c r="A1924" s="4" t="s">
        <v>3849</v>
      </c>
      <c r="B1924" s="5" t="s">
        <v>3850</v>
      </c>
      <c r="C1924" s="6"/>
      <c r="D1924" s="7">
        <v>45454.0</v>
      </c>
      <c r="E1924" s="7">
        <v>45799.0</v>
      </c>
      <c r="F1924" s="7">
        <v>45799.0</v>
      </c>
    </row>
    <row r="1925">
      <c r="A1925" s="4" t="s">
        <v>3851</v>
      </c>
      <c r="B1925" s="5" t="s">
        <v>3852</v>
      </c>
      <c r="C1925" s="6"/>
      <c r="D1925" s="7">
        <v>45454.0</v>
      </c>
      <c r="E1925" s="7">
        <v>45783.0</v>
      </c>
      <c r="F1925" s="7">
        <v>45783.0</v>
      </c>
    </row>
    <row r="1926">
      <c r="A1926" s="4" t="s">
        <v>3853</v>
      </c>
      <c r="B1926" s="5" t="s">
        <v>3854</v>
      </c>
      <c r="C1926" s="6"/>
      <c r="D1926" s="7">
        <v>45454.0</v>
      </c>
      <c r="E1926" s="7">
        <v>45785.0</v>
      </c>
      <c r="F1926" s="7">
        <v>45785.0</v>
      </c>
    </row>
    <row r="1927">
      <c r="A1927" s="4" t="s">
        <v>3855</v>
      </c>
      <c r="B1927" s="5" t="s">
        <v>3856</v>
      </c>
      <c r="C1927" s="6"/>
      <c r="D1927" s="7">
        <v>45454.0</v>
      </c>
      <c r="E1927" s="7">
        <v>45786.0</v>
      </c>
      <c r="F1927" s="7">
        <v>45786.0</v>
      </c>
    </row>
    <row r="1928">
      <c r="A1928" s="4" t="s">
        <v>3857</v>
      </c>
      <c r="B1928" s="5" t="s">
        <v>3858</v>
      </c>
      <c r="C1928" s="6"/>
      <c r="D1928" s="7">
        <v>45454.0</v>
      </c>
      <c r="E1928" s="7">
        <v>45785.0</v>
      </c>
      <c r="F1928" s="7">
        <v>45785.0</v>
      </c>
    </row>
    <row r="1929">
      <c r="A1929" s="4" t="s">
        <v>3859</v>
      </c>
      <c r="B1929" s="5" t="s">
        <v>3860</v>
      </c>
      <c r="C1929" s="6"/>
      <c r="D1929" s="7">
        <v>45454.0</v>
      </c>
      <c r="E1929" s="7">
        <v>45792.0</v>
      </c>
      <c r="F1929" s="7">
        <v>45792.0</v>
      </c>
    </row>
    <row r="1930">
      <c r="A1930" s="4" t="s">
        <v>3861</v>
      </c>
      <c r="B1930" s="5" t="s">
        <v>3862</v>
      </c>
      <c r="C1930" s="6"/>
      <c r="D1930" s="7">
        <v>45454.0</v>
      </c>
      <c r="E1930" s="7">
        <v>45772.0</v>
      </c>
      <c r="F1930" s="7">
        <v>45772.0</v>
      </c>
    </row>
    <row r="1931">
      <c r="A1931" s="4" t="s">
        <v>3863</v>
      </c>
      <c r="B1931" s="5" t="s">
        <v>3864</v>
      </c>
      <c r="C1931" s="6"/>
      <c r="D1931" s="7">
        <v>45454.0</v>
      </c>
      <c r="E1931" s="7">
        <v>45792.0</v>
      </c>
      <c r="F1931" s="7">
        <v>45792.0</v>
      </c>
    </row>
    <row r="1932">
      <c r="A1932" s="4" t="s">
        <v>3865</v>
      </c>
      <c r="B1932" s="5" t="s">
        <v>3866</v>
      </c>
      <c r="C1932" s="6"/>
      <c r="D1932" s="7">
        <v>45454.0</v>
      </c>
      <c r="E1932" s="7">
        <v>45785.0</v>
      </c>
      <c r="F1932" s="7">
        <v>45785.0</v>
      </c>
    </row>
    <row r="1933">
      <c r="A1933" s="4" t="s">
        <v>3867</v>
      </c>
      <c r="B1933" s="5" t="s">
        <v>3868</v>
      </c>
      <c r="C1933" s="6"/>
      <c r="D1933" s="7">
        <v>45454.0</v>
      </c>
      <c r="E1933" s="7">
        <v>45785.0</v>
      </c>
      <c r="F1933" s="7">
        <v>45785.0</v>
      </c>
    </row>
    <row r="1934">
      <c r="A1934" s="4" t="s">
        <v>3869</v>
      </c>
      <c r="B1934" s="5" t="s">
        <v>3870</v>
      </c>
      <c r="C1934" s="6"/>
      <c r="D1934" s="7">
        <v>45454.0</v>
      </c>
      <c r="E1934" s="7">
        <v>45785.0</v>
      </c>
      <c r="F1934" s="7">
        <v>45785.0</v>
      </c>
    </row>
    <row r="1935">
      <c r="A1935" s="4" t="s">
        <v>3871</v>
      </c>
      <c r="B1935" s="5" t="s">
        <v>3872</v>
      </c>
      <c r="C1935" s="6"/>
      <c r="D1935" s="7">
        <v>45454.0</v>
      </c>
      <c r="E1935" s="7">
        <v>45778.0</v>
      </c>
      <c r="F1935" s="7">
        <v>45778.0</v>
      </c>
    </row>
    <row r="1936">
      <c r="A1936" s="4" t="s">
        <v>3873</v>
      </c>
      <c r="B1936" s="5" t="s">
        <v>3874</v>
      </c>
      <c r="C1936" s="6"/>
      <c r="D1936" s="7">
        <v>45454.0</v>
      </c>
      <c r="E1936" s="5" t="e">
        <v>#N/A</v>
      </c>
      <c r="F1936" s="5" t="e">
        <v>#N/A</v>
      </c>
    </row>
    <row r="1937">
      <c r="A1937" s="4" t="s">
        <v>3875</v>
      </c>
      <c r="B1937" s="5" t="s">
        <v>3876</v>
      </c>
      <c r="C1937" s="6"/>
      <c r="D1937" s="7">
        <v>45454.0</v>
      </c>
      <c r="E1937" s="7">
        <v>45785.0</v>
      </c>
      <c r="F1937" s="7">
        <v>45785.0</v>
      </c>
    </row>
    <row r="1938">
      <c r="A1938" s="4" t="s">
        <v>3877</v>
      </c>
      <c r="B1938" s="5" t="s">
        <v>3878</v>
      </c>
      <c r="C1938" s="6"/>
      <c r="D1938" s="7">
        <v>45454.0</v>
      </c>
      <c r="E1938" s="7">
        <v>45792.0</v>
      </c>
      <c r="F1938" s="7">
        <v>45792.0</v>
      </c>
    </row>
    <row r="1939">
      <c r="A1939" s="4" t="s">
        <v>3879</v>
      </c>
      <c r="B1939" s="5" t="s">
        <v>3880</v>
      </c>
      <c r="C1939" s="6"/>
      <c r="D1939" s="7">
        <v>45454.0</v>
      </c>
      <c r="E1939" s="7">
        <v>45785.0</v>
      </c>
      <c r="F1939" s="7">
        <v>45785.0</v>
      </c>
    </row>
    <row r="1940">
      <c r="A1940" s="4" t="s">
        <v>3881</v>
      </c>
      <c r="B1940" s="5" t="s">
        <v>3882</v>
      </c>
      <c r="C1940" s="6"/>
      <c r="D1940" s="7">
        <v>45454.0</v>
      </c>
      <c r="E1940" s="7">
        <v>45785.0</v>
      </c>
      <c r="F1940" s="7">
        <v>45785.0</v>
      </c>
    </row>
    <row r="1941">
      <c r="A1941" s="4" t="s">
        <v>3883</v>
      </c>
      <c r="B1941" s="5" t="s">
        <v>3884</v>
      </c>
      <c r="C1941" s="6"/>
      <c r="D1941" s="7">
        <v>45454.0</v>
      </c>
      <c r="E1941" s="7">
        <v>45785.0</v>
      </c>
      <c r="F1941" s="7">
        <v>45785.0</v>
      </c>
    </row>
    <row r="1942">
      <c r="A1942" s="4" t="s">
        <v>3885</v>
      </c>
      <c r="B1942" s="5" t="s">
        <v>3886</v>
      </c>
      <c r="C1942" s="6"/>
      <c r="D1942" s="7">
        <v>45454.0</v>
      </c>
      <c r="E1942" s="7">
        <v>45785.0</v>
      </c>
      <c r="F1942" s="7">
        <v>45785.0</v>
      </c>
    </row>
    <row r="1943">
      <c r="A1943" s="4" t="s">
        <v>3887</v>
      </c>
      <c r="B1943" s="5" t="s">
        <v>3888</v>
      </c>
      <c r="C1943" s="6"/>
      <c r="D1943" s="7">
        <v>45454.0</v>
      </c>
      <c r="E1943" s="7">
        <v>45785.0</v>
      </c>
      <c r="F1943" s="7">
        <v>45785.0</v>
      </c>
    </row>
    <row r="1944">
      <c r="A1944" s="4" t="s">
        <v>3889</v>
      </c>
      <c r="B1944" s="5" t="s">
        <v>3890</v>
      </c>
      <c r="C1944" s="6"/>
      <c r="D1944" s="7">
        <v>45454.0</v>
      </c>
      <c r="E1944" s="7">
        <v>45785.0</v>
      </c>
      <c r="F1944" s="7">
        <v>45785.0</v>
      </c>
    </row>
    <row r="1945">
      <c r="A1945" s="4" t="s">
        <v>3891</v>
      </c>
      <c r="B1945" s="5" t="s">
        <v>3892</v>
      </c>
      <c r="C1945" s="6"/>
      <c r="D1945" s="7">
        <v>45454.0</v>
      </c>
      <c r="E1945" s="7">
        <v>45785.0</v>
      </c>
      <c r="F1945" s="7">
        <v>45785.0</v>
      </c>
    </row>
    <row r="1946">
      <c r="A1946" s="4" t="s">
        <v>3893</v>
      </c>
      <c r="B1946" s="5" t="s">
        <v>3894</v>
      </c>
      <c r="C1946" s="6"/>
      <c r="D1946" s="7">
        <v>45454.0</v>
      </c>
      <c r="E1946" s="7">
        <v>45792.0</v>
      </c>
      <c r="F1946" s="7">
        <v>45792.0</v>
      </c>
    </row>
    <row r="1947">
      <c r="A1947" s="4" t="s">
        <v>3895</v>
      </c>
      <c r="B1947" s="5" t="s">
        <v>3896</v>
      </c>
      <c r="C1947" s="6"/>
      <c r="D1947" s="7">
        <v>45454.0</v>
      </c>
      <c r="E1947" s="7">
        <v>45785.0</v>
      </c>
      <c r="F1947" s="7">
        <v>45785.0</v>
      </c>
    </row>
    <row r="1948">
      <c r="A1948" s="4" t="s">
        <v>3897</v>
      </c>
      <c r="B1948" s="5" t="s">
        <v>3898</v>
      </c>
      <c r="C1948" s="6"/>
      <c r="D1948" s="7">
        <v>45454.0</v>
      </c>
      <c r="E1948" s="7">
        <v>45785.0</v>
      </c>
      <c r="F1948" s="7">
        <v>45785.0</v>
      </c>
    </row>
    <row r="1949">
      <c r="A1949" s="4" t="s">
        <v>3899</v>
      </c>
      <c r="B1949" s="5" t="s">
        <v>3900</v>
      </c>
      <c r="C1949" s="6"/>
      <c r="D1949" s="7">
        <v>45454.0</v>
      </c>
      <c r="E1949" s="7">
        <v>45797.0</v>
      </c>
      <c r="F1949" s="7">
        <v>45797.0</v>
      </c>
    </row>
    <row r="1950">
      <c r="A1950" s="4" t="s">
        <v>3901</v>
      </c>
      <c r="B1950" s="5" t="s">
        <v>3902</v>
      </c>
      <c r="C1950" s="6"/>
      <c r="D1950" s="7">
        <v>45454.0</v>
      </c>
      <c r="E1950" s="7">
        <v>45785.0</v>
      </c>
      <c r="F1950" s="7">
        <v>45785.0</v>
      </c>
    </row>
    <row r="1951">
      <c r="A1951" s="4" t="s">
        <v>3903</v>
      </c>
      <c r="B1951" s="5" t="s">
        <v>3904</v>
      </c>
      <c r="C1951" s="6"/>
      <c r="D1951" s="7">
        <v>45454.0</v>
      </c>
      <c r="E1951" s="7">
        <v>45791.0</v>
      </c>
      <c r="F1951" s="7">
        <v>45791.0</v>
      </c>
    </row>
    <row r="1952">
      <c r="A1952" s="4" t="s">
        <v>3905</v>
      </c>
      <c r="B1952" s="5" t="s">
        <v>3906</v>
      </c>
      <c r="C1952" s="6"/>
      <c r="D1952" s="7">
        <v>45454.0</v>
      </c>
      <c r="E1952" s="7">
        <v>45785.0</v>
      </c>
      <c r="F1952" s="7">
        <v>45785.0</v>
      </c>
    </row>
    <row r="1953">
      <c r="A1953" s="4" t="s">
        <v>3907</v>
      </c>
      <c r="B1953" s="5" t="s">
        <v>3908</v>
      </c>
      <c r="C1953" s="6"/>
      <c r="D1953" s="7">
        <v>45455.0</v>
      </c>
      <c r="E1953" s="7">
        <v>45785.0</v>
      </c>
      <c r="F1953" s="7">
        <v>45785.0</v>
      </c>
    </row>
    <row r="1954">
      <c r="A1954" s="4" t="s">
        <v>3909</v>
      </c>
      <c r="B1954" s="5" t="s">
        <v>3910</v>
      </c>
      <c r="C1954" s="6"/>
      <c r="D1954" s="7">
        <v>45455.0</v>
      </c>
      <c r="E1954" s="7">
        <v>45784.0</v>
      </c>
      <c r="F1954" s="7">
        <v>45784.0</v>
      </c>
    </row>
    <row r="1955">
      <c r="A1955" s="4" t="s">
        <v>3911</v>
      </c>
      <c r="B1955" s="5" t="s">
        <v>3912</v>
      </c>
      <c r="C1955" s="6"/>
      <c r="D1955" s="7">
        <v>45455.0</v>
      </c>
      <c r="E1955" s="7">
        <v>45785.0</v>
      </c>
      <c r="F1955" s="7">
        <v>45785.0</v>
      </c>
    </row>
    <row r="1956">
      <c r="A1956" s="4" t="s">
        <v>3913</v>
      </c>
      <c r="B1956" s="5" t="s">
        <v>3914</v>
      </c>
      <c r="C1956" s="6"/>
      <c r="D1956" s="7">
        <v>45455.0</v>
      </c>
      <c r="E1956" s="7">
        <v>45798.0</v>
      </c>
      <c r="F1956" s="7">
        <v>45798.0</v>
      </c>
    </row>
    <row r="1957">
      <c r="A1957" s="4" t="s">
        <v>3915</v>
      </c>
      <c r="B1957" s="5" t="s">
        <v>3916</v>
      </c>
      <c r="C1957" s="6"/>
      <c r="D1957" s="7">
        <v>45455.0</v>
      </c>
      <c r="E1957" s="7">
        <v>45798.0</v>
      </c>
      <c r="F1957" s="7">
        <v>45798.0</v>
      </c>
    </row>
    <row r="1958">
      <c r="A1958" s="4" t="s">
        <v>3917</v>
      </c>
      <c r="B1958" s="5" t="s">
        <v>3918</v>
      </c>
      <c r="C1958" s="6"/>
      <c r="D1958" s="7">
        <v>45455.0</v>
      </c>
      <c r="E1958" s="7">
        <v>45784.0</v>
      </c>
      <c r="F1958" s="7">
        <v>45784.0</v>
      </c>
    </row>
    <row r="1959">
      <c r="A1959" s="4" t="s">
        <v>3919</v>
      </c>
      <c r="B1959" s="5" t="s">
        <v>3920</v>
      </c>
      <c r="C1959" s="6"/>
      <c r="D1959" s="7">
        <v>45455.0</v>
      </c>
      <c r="E1959" s="7">
        <v>45785.0</v>
      </c>
      <c r="F1959" s="7">
        <v>45785.0</v>
      </c>
    </row>
    <row r="1960">
      <c r="A1960" s="4" t="s">
        <v>3921</v>
      </c>
      <c r="B1960" s="5" t="s">
        <v>3922</v>
      </c>
      <c r="C1960" s="6"/>
      <c r="D1960" s="7">
        <v>45455.0</v>
      </c>
      <c r="E1960" s="7">
        <v>45784.0</v>
      </c>
      <c r="F1960" s="7">
        <v>45784.0</v>
      </c>
    </row>
    <row r="1961">
      <c r="A1961" s="4" t="s">
        <v>3923</v>
      </c>
      <c r="B1961" s="5" t="s">
        <v>3924</v>
      </c>
      <c r="C1961" s="6"/>
      <c r="D1961" s="7">
        <v>45455.0</v>
      </c>
      <c r="E1961" s="7">
        <v>45785.0</v>
      </c>
      <c r="F1961" s="7">
        <v>45785.0</v>
      </c>
    </row>
    <row r="1962">
      <c r="A1962" s="4" t="s">
        <v>3925</v>
      </c>
      <c r="B1962" s="5" t="s">
        <v>3926</v>
      </c>
      <c r="C1962" s="6"/>
      <c r="D1962" s="7">
        <v>45455.0</v>
      </c>
      <c r="E1962" s="7">
        <v>45785.0</v>
      </c>
      <c r="F1962" s="7">
        <v>45785.0</v>
      </c>
    </row>
    <row r="1963">
      <c r="A1963" s="4" t="s">
        <v>3927</v>
      </c>
      <c r="B1963" s="5" t="s">
        <v>3928</v>
      </c>
      <c r="C1963" s="6"/>
      <c r="D1963" s="7">
        <v>45455.0</v>
      </c>
      <c r="E1963" s="7">
        <v>45786.0</v>
      </c>
      <c r="F1963" s="7">
        <v>45786.0</v>
      </c>
    </row>
    <row r="1964">
      <c r="A1964" s="4" t="s">
        <v>3929</v>
      </c>
      <c r="B1964" s="5" t="s">
        <v>3930</v>
      </c>
      <c r="C1964" s="6"/>
      <c r="D1964" s="7">
        <v>45455.0</v>
      </c>
      <c r="E1964" s="7">
        <v>45785.0</v>
      </c>
      <c r="F1964" s="7">
        <v>45785.0</v>
      </c>
    </row>
    <row r="1965">
      <c r="A1965" s="4" t="s">
        <v>3931</v>
      </c>
      <c r="B1965" s="5" t="s">
        <v>3932</v>
      </c>
      <c r="C1965" s="6"/>
      <c r="D1965" s="7">
        <v>45455.0</v>
      </c>
      <c r="E1965" s="7">
        <v>45785.0</v>
      </c>
      <c r="F1965" s="7">
        <v>45785.0</v>
      </c>
    </row>
    <row r="1966">
      <c r="A1966" s="4" t="s">
        <v>3933</v>
      </c>
      <c r="B1966" s="5" t="s">
        <v>3934</v>
      </c>
      <c r="C1966" s="6"/>
      <c r="D1966" s="7">
        <v>45455.0</v>
      </c>
      <c r="E1966" s="7">
        <v>45785.0</v>
      </c>
      <c r="F1966" s="7">
        <v>45785.0</v>
      </c>
    </row>
    <row r="1967">
      <c r="A1967" s="4" t="s">
        <v>3935</v>
      </c>
      <c r="B1967" s="5" t="s">
        <v>3936</v>
      </c>
      <c r="C1967" s="6"/>
      <c r="D1967" s="7">
        <v>45455.0</v>
      </c>
      <c r="E1967" s="7">
        <v>45792.0</v>
      </c>
      <c r="F1967" s="7">
        <v>45792.0</v>
      </c>
    </row>
    <row r="1968">
      <c r="A1968" s="4" t="s">
        <v>3937</v>
      </c>
      <c r="B1968" s="5" t="s">
        <v>3938</v>
      </c>
      <c r="C1968" s="6"/>
      <c r="D1968" s="7">
        <v>45455.0</v>
      </c>
      <c r="E1968" s="7">
        <v>45784.0</v>
      </c>
      <c r="F1968" s="7">
        <v>45784.0</v>
      </c>
    </row>
    <row r="1969">
      <c r="A1969" s="4" t="s">
        <v>3939</v>
      </c>
      <c r="B1969" s="5" t="s">
        <v>3940</v>
      </c>
      <c r="C1969" s="6"/>
      <c r="D1969" s="7">
        <v>45455.0</v>
      </c>
      <c r="E1969" s="7">
        <v>45785.0</v>
      </c>
      <c r="F1969" s="7">
        <v>45785.0</v>
      </c>
    </row>
    <row r="1970">
      <c r="A1970" s="4" t="s">
        <v>3941</v>
      </c>
      <c r="B1970" s="5" t="s">
        <v>3942</v>
      </c>
      <c r="C1970" s="6"/>
      <c r="D1970" s="7">
        <v>45455.0</v>
      </c>
      <c r="E1970" s="7">
        <v>45792.0</v>
      </c>
      <c r="F1970" s="7">
        <v>45792.0</v>
      </c>
    </row>
    <row r="1971">
      <c r="A1971" s="4" t="s">
        <v>3943</v>
      </c>
      <c r="B1971" s="5" t="s">
        <v>3944</v>
      </c>
      <c r="C1971" s="6"/>
      <c r="D1971" s="7">
        <v>45455.0</v>
      </c>
      <c r="E1971" s="7">
        <v>45785.0</v>
      </c>
      <c r="F1971" s="7">
        <v>45785.0</v>
      </c>
    </row>
    <row r="1972">
      <c r="A1972" s="4" t="s">
        <v>3945</v>
      </c>
      <c r="B1972" s="5" t="s">
        <v>3946</v>
      </c>
      <c r="C1972" s="6"/>
      <c r="D1972" s="7">
        <v>45455.0</v>
      </c>
      <c r="E1972" s="7">
        <v>45764.0</v>
      </c>
      <c r="F1972" s="7">
        <v>45764.0</v>
      </c>
    </row>
    <row r="1973">
      <c r="A1973" s="4" t="s">
        <v>3947</v>
      </c>
      <c r="B1973" s="5" t="s">
        <v>3948</v>
      </c>
      <c r="C1973" s="6"/>
      <c r="D1973" s="7">
        <v>45455.0</v>
      </c>
      <c r="E1973" s="7">
        <v>45421.0</v>
      </c>
      <c r="F1973" s="7">
        <v>45421.0</v>
      </c>
    </row>
    <row r="1974">
      <c r="A1974" s="4" t="s">
        <v>3949</v>
      </c>
      <c r="B1974" s="5" t="s">
        <v>3950</v>
      </c>
      <c r="C1974" s="6"/>
      <c r="D1974" s="7">
        <v>45455.0</v>
      </c>
      <c r="E1974" s="7">
        <v>45792.0</v>
      </c>
      <c r="F1974" s="7">
        <v>45792.0</v>
      </c>
    </row>
    <row r="1975">
      <c r="A1975" s="4" t="s">
        <v>3951</v>
      </c>
      <c r="B1975" s="5" t="s">
        <v>3952</v>
      </c>
      <c r="C1975" s="6"/>
      <c r="D1975" s="7">
        <v>45455.0</v>
      </c>
      <c r="E1975" s="7">
        <v>45785.0</v>
      </c>
      <c r="F1975" s="7">
        <v>45785.0</v>
      </c>
    </row>
    <row r="1976">
      <c r="A1976" s="4" t="s">
        <v>3953</v>
      </c>
      <c r="B1976" s="5" t="s">
        <v>3954</v>
      </c>
      <c r="C1976" s="6"/>
      <c r="D1976" s="7">
        <v>45455.0</v>
      </c>
      <c r="E1976" s="7">
        <v>45778.0</v>
      </c>
      <c r="F1976" s="7">
        <v>45778.0</v>
      </c>
    </row>
    <row r="1977">
      <c r="A1977" s="4" t="s">
        <v>3955</v>
      </c>
      <c r="B1977" s="5" t="s">
        <v>3956</v>
      </c>
      <c r="C1977" s="6"/>
      <c r="D1977" s="7">
        <v>45455.0</v>
      </c>
      <c r="E1977" s="7">
        <v>45798.0</v>
      </c>
      <c r="F1977" s="7">
        <v>45798.0</v>
      </c>
    </row>
    <row r="1978">
      <c r="A1978" s="4" t="s">
        <v>3957</v>
      </c>
      <c r="B1978" s="5" t="s">
        <v>3958</v>
      </c>
      <c r="C1978" s="6"/>
      <c r="D1978" s="7">
        <v>45455.0</v>
      </c>
      <c r="E1978" s="7">
        <v>45785.0</v>
      </c>
      <c r="F1978" s="7">
        <v>45785.0</v>
      </c>
    </row>
    <row r="1979">
      <c r="A1979" s="4" t="s">
        <v>3959</v>
      </c>
      <c r="B1979" s="5" t="s">
        <v>3960</v>
      </c>
      <c r="C1979" s="6"/>
      <c r="D1979" s="7">
        <v>45455.0</v>
      </c>
      <c r="E1979" s="7">
        <v>45785.0</v>
      </c>
      <c r="F1979" s="7">
        <v>45785.0</v>
      </c>
    </row>
    <row r="1980">
      <c r="A1980" s="4" t="s">
        <v>3961</v>
      </c>
      <c r="B1980" s="5" t="s">
        <v>3962</v>
      </c>
      <c r="C1980" s="6"/>
      <c r="D1980" s="7">
        <v>45455.0</v>
      </c>
      <c r="E1980" s="7">
        <v>45814.0</v>
      </c>
      <c r="F1980" s="7">
        <v>45814.0</v>
      </c>
    </row>
    <row r="1981">
      <c r="A1981" s="4" t="s">
        <v>3963</v>
      </c>
      <c r="B1981" s="5" t="s">
        <v>3964</v>
      </c>
      <c r="C1981" s="6"/>
      <c r="D1981" s="7">
        <v>45455.0</v>
      </c>
      <c r="E1981" s="7">
        <v>45785.0</v>
      </c>
      <c r="F1981" s="7">
        <v>45785.0</v>
      </c>
    </row>
    <row r="1982">
      <c r="A1982" s="4" t="s">
        <v>3965</v>
      </c>
      <c r="B1982" s="5" t="s">
        <v>3966</v>
      </c>
      <c r="C1982" s="6"/>
      <c r="D1982" s="7">
        <v>45455.0</v>
      </c>
      <c r="E1982" s="7">
        <v>45785.0</v>
      </c>
      <c r="F1982" s="7">
        <v>45785.0</v>
      </c>
    </row>
    <row r="1983">
      <c r="A1983" s="4" t="s">
        <v>3967</v>
      </c>
      <c r="B1983" s="5" t="s">
        <v>3968</v>
      </c>
      <c r="C1983" s="6"/>
      <c r="D1983" s="7">
        <v>45455.0</v>
      </c>
      <c r="E1983" s="7">
        <v>45776.0</v>
      </c>
      <c r="F1983" s="7">
        <v>45776.0</v>
      </c>
    </row>
    <row r="1984">
      <c r="A1984" s="4" t="s">
        <v>3969</v>
      </c>
      <c r="B1984" s="5" t="s">
        <v>3970</v>
      </c>
      <c r="C1984" s="6"/>
      <c r="D1984" s="7">
        <v>45455.0</v>
      </c>
      <c r="E1984" s="7">
        <v>45790.0</v>
      </c>
      <c r="F1984" s="7">
        <v>45790.0</v>
      </c>
    </row>
    <row r="1985">
      <c r="A1985" s="4" t="s">
        <v>3971</v>
      </c>
      <c r="B1985" s="5" t="s">
        <v>3972</v>
      </c>
      <c r="C1985" s="6"/>
      <c r="D1985" s="7">
        <v>45455.0</v>
      </c>
      <c r="E1985" s="7">
        <v>45785.0</v>
      </c>
      <c r="F1985" s="7">
        <v>45785.0</v>
      </c>
    </row>
    <row r="1986">
      <c r="A1986" s="4" t="s">
        <v>3973</v>
      </c>
      <c r="B1986" s="5" t="s">
        <v>3974</v>
      </c>
      <c r="C1986" s="6"/>
      <c r="D1986" s="7">
        <v>45455.0</v>
      </c>
      <c r="E1986" s="7">
        <v>45785.0</v>
      </c>
      <c r="F1986" s="7">
        <v>45785.0</v>
      </c>
    </row>
    <row r="1987">
      <c r="A1987" s="4" t="s">
        <v>3975</v>
      </c>
      <c r="B1987" s="5" t="s">
        <v>3976</v>
      </c>
      <c r="C1987" s="6"/>
      <c r="D1987" s="7">
        <v>45455.0</v>
      </c>
      <c r="E1987" s="7">
        <v>45785.0</v>
      </c>
      <c r="F1987" s="7">
        <v>45785.0</v>
      </c>
    </row>
    <row r="1988">
      <c r="A1988" s="4" t="s">
        <v>3977</v>
      </c>
      <c r="B1988" s="5" t="s">
        <v>3978</v>
      </c>
      <c r="C1988" s="6"/>
      <c r="D1988" s="7">
        <v>45455.0</v>
      </c>
      <c r="E1988" s="7">
        <v>45785.0</v>
      </c>
      <c r="F1988" s="7">
        <v>45785.0</v>
      </c>
    </row>
    <row r="1989">
      <c r="A1989" s="4" t="s">
        <v>3979</v>
      </c>
      <c r="B1989" s="5" t="s">
        <v>3980</v>
      </c>
      <c r="C1989" s="6"/>
      <c r="D1989" s="7">
        <v>45455.0</v>
      </c>
      <c r="E1989" s="7">
        <v>45800.0</v>
      </c>
      <c r="F1989" s="7">
        <v>45800.0</v>
      </c>
    </row>
    <row r="1990">
      <c r="A1990" s="4" t="s">
        <v>3981</v>
      </c>
      <c r="B1990" s="5" t="s">
        <v>3982</v>
      </c>
      <c r="C1990" s="6"/>
      <c r="D1990" s="7">
        <v>45455.0</v>
      </c>
      <c r="E1990" s="7">
        <v>45791.0</v>
      </c>
      <c r="F1990" s="7">
        <v>45791.0</v>
      </c>
    </row>
    <row r="1991">
      <c r="A1991" s="4" t="s">
        <v>3983</v>
      </c>
      <c r="B1991" s="5" t="s">
        <v>3984</v>
      </c>
      <c r="C1991" s="6"/>
      <c r="D1991" s="7">
        <v>45455.0</v>
      </c>
      <c r="E1991" s="7">
        <v>45784.0</v>
      </c>
      <c r="F1991" s="7">
        <v>45784.0</v>
      </c>
    </row>
    <row r="1992">
      <c r="A1992" s="4" t="s">
        <v>3985</v>
      </c>
      <c r="B1992" s="5" t="s">
        <v>3986</v>
      </c>
      <c r="C1992" s="6"/>
      <c r="D1992" s="7">
        <v>45455.0</v>
      </c>
      <c r="E1992" s="7">
        <v>45784.0</v>
      </c>
      <c r="F1992" s="7">
        <v>45784.0</v>
      </c>
    </row>
    <row r="1993">
      <c r="A1993" s="4" t="s">
        <v>3987</v>
      </c>
      <c r="B1993" s="5" t="s">
        <v>3988</v>
      </c>
      <c r="C1993" s="6"/>
      <c r="D1993" s="7">
        <v>45455.0</v>
      </c>
      <c r="E1993" s="7">
        <v>45784.0</v>
      </c>
      <c r="F1993" s="7">
        <v>45784.0</v>
      </c>
    </row>
    <row r="1994">
      <c r="A1994" s="4" t="s">
        <v>3989</v>
      </c>
      <c r="B1994" s="5" t="s">
        <v>3990</v>
      </c>
      <c r="C1994" s="6"/>
      <c r="D1994" s="7">
        <v>45455.0</v>
      </c>
      <c r="E1994" s="7">
        <v>45791.0</v>
      </c>
      <c r="F1994" s="7">
        <v>45791.0</v>
      </c>
    </row>
    <row r="1995">
      <c r="A1995" s="4" t="s">
        <v>3991</v>
      </c>
      <c r="B1995" s="5" t="s">
        <v>3992</v>
      </c>
      <c r="C1995" s="6"/>
      <c r="D1995" s="7">
        <v>45455.0</v>
      </c>
      <c r="E1995" s="7">
        <v>45792.0</v>
      </c>
      <c r="F1995" s="7">
        <v>45792.0</v>
      </c>
    </row>
    <row r="1996">
      <c r="A1996" s="4" t="s">
        <v>3993</v>
      </c>
      <c r="B1996" s="5" t="s">
        <v>3994</v>
      </c>
      <c r="C1996" s="6"/>
      <c r="D1996" s="7">
        <v>45455.0</v>
      </c>
      <c r="E1996" s="7">
        <v>45784.0</v>
      </c>
      <c r="F1996" s="7">
        <v>45784.0</v>
      </c>
    </row>
    <row r="1997">
      <c r="A1997" s="4" t="s">
        <v>3995</v>
      </c>
      <c r="B1997" s="5" t="s">
        <v>3996</v>
      </c>
      <c r="C1997" s="6"/>
      <c r="D1997" s="7">
        <v>45455.0</v>
      </c>
      <c r="E1997" s="7">
        <v>45784.0</v>
      </c>
      <c r="F1997" s="7">
        <v>45784.0</v>
      </c>
    </row>
    <row r="1998">
      <c r="A1998" s="4" t="s">
        <v>3997</v>
      </c>
      <c r="B1998" s="5" t="s">
        <v>3998</v>
      </c>
      <c r="C1998" s="6"/>
      <c r="D1998" s="7">
        <v>45455.0</v>
      </c>
      <c r="E1998" s="7">
        <v>45791.0</v>
      </c>
      <c r="F1998" s="7">
        <v>45791.0</v>
      </c>
    </row>
    <row r="1999">
      <c r="A1999" s="4" t="s">
        <v>3999</v>
      </c>
      <c r="B1999" s="5" t="s">
        <v>4000</v>
      </c>
      <c r="C1999" s="6"/>
      <c r="D1999" s="7">
        <v>45455.0</v>
      </c>
      <c r="E1999" s="7">
        <v>45784.0</v>
      </c>
      <c r="F1999" s="7">
        <v>45784.0</v>
      </c>
    </row>
    <row r="2000">
      <c r="A2000" s="4" t="s">
        <v>4001</v>
      </c>
      <c r="B2000" s="5" t="s">
        <v>4002</v>
      </c>
      <c r="C2000" s="6"/>
      <c r="D2000" s="7">
        <v>45455.0</v>
      </c>
      <c r="E2000" s="7">
        <v>45797.0</v>
      </c>
      <c r="F2000" s="7">
        <v>45797.0</v>
      </c>
    </row>
    <row r="2001">
      <c r="A2001" s="4" t="s">
        <v>4003</v>
      </c>
      <c r="B2001" s="5" t="s">
        <v>4004</v>
      </c>
      <c r="C2001" s="6"/>
      <c r="D2001" s="7">
        <v>45455.0</v>
      </c>
      <c r="E2001" s="7">
        <v>45791.0</v>
      </c>
      <c r="F2001" s="7">
        <v>45791.0</v>
      </c>
    </row>
    <row r="2002">
      <c r="A2002" s="4" t="s">
        <v>4005</v>
      </c>
      <c r="B2002" s="5" t="s">
        <v>4006</v>
      </c>
      <c r="C2002" s="6"/>
      <c r="D2002" s="7">
        <v>45455.0</v>
      </c>
      <c r="E2002" s="7">
        <v>45784.0</v>
      </c>
      <c r="F2002" s="7">
        <v>45784.0</v>
      </c>
    </row>
    <row r="2003">
      <c r="A2003" s="4" t="s">
        <v>4007</v>
      </c>
      <c r="B2003" s="5" t="s">
        <v>4008</v>
      </c>
      <c r="C2003" s="6"/>
      <c r="D2003" s="7">
        <v>45455.0</v>
      </c>
      <c r="E2003" s="7">
        <v>45791.0</v>
      </c>
      <c r="F2003" s="7">
        <v>45791.0</v>
      </c>
    </row>
    <row r="2004">
      <c r="A2004" s="4" t="s">
        <v>4009</v>
      </c>
      <c r="B2004" s="5" t="s">
        <v>4010</v>
      </c>
      <c r="C2004" s="6"/>
      <c r="D2004" s="7">
        <v>45455.0</v>
      </c>
      <c r="E2004" s="7">
        <v>45790.0</v>
      </c>
      <c r="F2004" s="7">
        <v>45790.0</v>
      </c>
    </row>
    <row r="2005">
      <c r="A2005" s="4" t="s">
        <v>4011</v>
      </c>
      <c r="B2005" s="5" t="s">
        <v>4012</v>
      </c>
      <c r="C2005" s="6"/>
      <c r="D2005" s="7">
        <v>45455.0</v>
      </c>
      <c r="E2005" s="7">
        <v>45792.0</v>
      </c>
      <c r="F2005" s="7">
        <v>45792.0</v>
      </c>
    </row>
    <row r="2006">
      <c r="A2006" s="4" t="s">
        <v>4013</v>
      </c>
      <c r="B2006" s="5" t="s">
        <v>4014</v>
      </c>
      <c r="C2006" s="6"/>
      <c r="D2006" s="7">
        <v>45455.0</v>
      </c>
      <c r="E2006" s="7">
        <v>45806.0</v>
      </c>
      <c r="F2006" s="7">
        <v>45806.0</v>
      </c>
    </row>
    <row r="2007">
      <c r="A2007" s="4" t="s">
        <v>4015</v>
      </c>
      <c r="B2007" s="5" t="s">
        <v>4016</v>
      </c>
      <c r="C2007" s="6"/>
      <c r="D2007" s="7">
        <v>45455.0</v>
      </c>
      <c r="E2007" s="7">
        <v>45778.0</v>
      </c>
      <c r="F2007" s="7">
        <v>45778.0</v>
      </c>
    </row>
    <row r="2008">
      <c r="A2008" s="4" t="s">
        <v>4017</v>
      </c>
      <c r="B2008" s="5" t="s">
        <v>4018</v>
      </c>
      <c r="C2008" s="6"/>
      <c r="D2008" s="7">
        <v>45455.0</v>
      </c>
      <c r="E2008" s="7">
        <v>45784.0</v>
      </c>
      <c r="F2008" s="7">
        <v>45784.0</v>
      </c>
    </row>
    <row r="2009">
      <c r="A2009" s="4" t="s">
        <v>4019</v>
      </c>
      <c r="B2009" s="5" t="s">
        <v>4020</v>
      </c>
      <c r="C2009" s="6"/>
      <c r="D2009" s="7">
        <v>45455.0</v>
      </c>
      <c r="E2009" s="7">
        <v>45791.0</v>
      </c>
      <c r="F2009" s="7">
        <v>45791.0</v>
      </c>
    </row>
    <row r="2010">
      <c r="A2010" s="4" t="s">
        <v>4021</v>
      </c>
      <c r="B2010" s="5" t="s">
        <v>4022</v>
      </c>
      <c r="C2010" s="6"/>
      <c r="D2010" s="7">
        <v>45455.0</v>
      </c>
      <c r="E2010" s="7">
        <v>45744.0</v>
      </c>
      <c r="F2010" s="7">
        <v>45744.0</v>
      </c>
    </row>
    <row r="2011">
      <c r="A2011" s="4" t="s">
        <v>4023</v>
      </c>
      <c r="B2011" s="5" t="s">
        <v>4024</v>
      </c>
      <c r="C2011" s="6"/>
      <c r="D2011" s="7">
        <v>45455.0</v>
      </c>
      <c r="E2011" s="7">
        <v>45784.0</v>
      </c>
      <c r="F2011" s="7">
        <v>45784.0</v>
      </c>
    </row>
    <row r="2012">
      <c r="A2012" s="4" t="s">
        <v>4025</v>
      </c>
      <c r="B2012" s="5" t="s">
        <v>4026</v>
      </c>
      <c r="C2012" s="6"/>
      <c r="D2012" s="7">
        <v>45455.0</v>
      </c>
      <c r="E2012" s="7">
        <v>45784.0</v>
      </c>
      <c r="F2012" s="7">
        <v>45784.0</v>
      </c>
    </row>
    <row r="2013">
      <c r="A2013" s="4" t="s">
        <v>4027</v>
      </c>
      <c r="B2013" s="5" t="s">
        <v>4028</v>
      </c>
      <c r="C2013" s="6"/>
      <c r="D2013" s="7">
        <v>45455.0</v>
      </c>
      <c r="E2013" s="7">
        <v>45784.0</v>
      </c>
      <c r="F2013" s="7">
        <v>45784.0</v>
      </c>
    </row>
    <row r="2014">
      <c r="A2014" s="4" t="s">
        <v>4029</v>
      </c>
      <c r="B2014" s="5" t="s">
        <v>4030</v>
      </c>
      <c r="C2014" s="6"/>
      <c r="D2014" s="7">
        <v>45455.0</v>
      </c>
      <c r="E2014" s="7">
        <v>45791.0</v>
      </c>
      <c r="F2014" s="7">
        <v>45791.0</v>
      </c>
    </row>
    <row r="2015">
      <c r="A2015" s="4" t="s">
        <v>4031</v>
      </c>
      <c r="B2015" s="5" t="s">
        <v>4032</v>
      </c>
      <c r="C2015" s="6"/>
      <c r="D2015" s="7">
        <v>45455.0</v>
      </c>
      <c r="E2015" s="7">
        <v>45784.0</v>
      </c>
      <c r="F2015" s="7">
        <v>45784.0</v>
      </c>
    </row>
    <row r="2016">
      <c r="A2016" s="4" t="s">
        <v>4033</v>
      </c>
      <c r="B2016" s="5" t="s">
        <v>4034</v>
      </c>
      <c r="C2016" s="6"/>
      <c r="D2016" s="7">
        <v>45455.0</v>
      </c>
      <c r="E2016" s="7">
        <v>45784.0</v>
      </c>
      <c r="F2016" s="7">
        <v>45784.0</v>
      </c>
    </row>
    <row r="2017">
      <c r="A2017" s="4" t="s">
        <v>4035</v>
      </c>
      <c r="B2017" s="5" t="s">
        <v>4036</v>
      </c>
      <c r="C2017" s="6"/>
      <c r="D2017" s="7">
        <v>45455.0</v>
      </c>
      <c r="E2017" s="7">
        <v>45785.0</v>
      </c>
      <c r="F2017" s="7">
        <v>45785.0</v>
      </c>
    </row>
    <row r="2018">
      <c r="A2018" s="4" t="s">
        <v>4037</v>
      </c>
      <c r="B2018" s="5" t="s">
        <v>4038</v>
      </c>
      <c r="C2018" s="6"/>
      <c r="D2018" s="7">
        <v>45455.0</v>
      </c>
      <c r="E2018" s="7">
        <v>45784.0</v>
      </c>
      <c r="F2018" s="7">
        <v>45784.0</v>
      </c>
    </row>
    <row r="2019">
      <c r="A2019" s="4" t="s">
        <v>4039</v>
      </c>
      <c r="B2019" s="5" t="s">
        <v>4040</v>
      </c>
      <c r="C2019" s="6"/>
      <c r="D2019" s="7">
        <v>45455.0</v>
      </c>
      <c r="E2019" s="7">
        <v>45785.0</v>
      </c>
      <c r="F2019" s="7">
        <v>45785.0</v>
      </c>
    </row>
    <row r="2020">
      <c r="A2020" s="4" t="s">
        <v>4041</v>
      </c>
      <c r="B2020" s="5" t="s">
        <v>4042</v>
      </c>
      <c r="C2020" s="6"/>
      <c r="D2020" s="7">
        <v>45455.0</v>
      </c>
      <c r="E2020" s="7">
        <v>45784.0</v>
      </c>
      <c r="F2020" s="7">
        <v>45784.0</v>
      </c>
    </row>
    <row r="2021">
      <c r="A2021" s="4" t="s">
        <v>4043</v>
      </c>
      <c r="B2021" s="5" t="s">
        <v>4044</v>
      </c>
      <c r="C2021" s="6"/>
      <c r="D2021" s="7">
        <v>45455.0</v>
      </c>
      <c r="E2021" s="7">
        <v>45777.0</v>
      </c>
      <c r="F2021" s="7">
        <v>45777.0</v>
      </c>
    </row>
    <row r="2022">
      <c r="A2022" s="4" t="s">
        <v>4045</v>
      </c>
      <c r="B2022" s="5" t="s">
        <v>4046</v>
      </c>
      <c r="C2022" s="6"/>
      <c r="D2022" s="7">
        <v>45455.0</v>
      </c>
      <c r="E2022" s="7">
        <v>45791.0</v>
      </c>
      <c r="F2022" s="7">
        <v>45791.0</v>
      </c>
    </row>
    <row r="2023">
      <c r="A2023" s="4" t="s">
        <v>4047</v>
      </c>
      <c r="B2023" s="5" t="s">
        <v>4048</v>
      </c>
      <c r="C2023" s="6"/>
      <c r="D2023" s="7">
        <v>45455.0</v>
      </c>
      <c r="E2023" s="7">
        <v>45785.0</v>
      </c>
      <c r="F2023" s="7">
        <v>45785.0</v>
      </c>
    </row>
    <row r="2024">
      <c r="A2024" s="4" t="s">
        <v>4049</v>
      </c>
      <c r="B2024" s="5" t="s">
        <v>4050</v>
      </c>
      <c r="C2024" s="6"/>
      <c r="D2024" s="7">
        <v>45455.0</v>
      </c>
      <c r="E2024" s="7">
        <v>45784.0</v>
      </c>
      <c r="F2024" s="7">
        <v>45784.0</v>
      </c>
    </row>
    <row r="2025">
      <c r="A2025" s="4" t="s">
        <v>4051</v>
      </c>
      <c r="B2025" s="5" t="s">
        <v>4052</v>
      </c>
      <c r="C2025" s="6"/>
      <c r="D2025" s="7">
        <v>45455.0</v>
      </c>
      <c r="E2025" s="7">
        <v>45784.0</v>
      </c>
      <c r="F2025" s="7">
        <v>45784.0</v>
      </c>
    </row>
    <row r="2026">
      <c r="A2026" s="4" t="s">
        <v>4053</v>
      </c>
      <c r="B2026" s="5" t="s">
        <v>4054</v>
      </c>
      <c r="C2026" s="6"/>
      <c r="D2026" s="7">
        <v>45455.0</v>
      </c>
      <c r="E2026" s="7">
        <v>45779.0</v>
      </c>
      <c r="F2026" s="7">
        <v>45779.0</v>
      </c>
    </row>
    <row r="2027">
      <c r="A2027" s="4" t="s">
        <v>4055</v>
      </c>
      <c r="B2027" s="5" t="s">
        <v>4056</v>
      </c>
      <c r="C2027" s="6"/>
      <c r="D2027" s="7">
        <v>45455.0</v>
      </c>
      <c r="E2027" s="7">
        <v>45785.0</v>
      </c>
      <c r="F2027" s="7">
        <v>45785.0</v>
      </c>
    </row>
    <row r="2028">
      <c r="A2028" s="4" t="s">
        <v>4057</v>
      </c>
      <c r="B2028" s="5" t="s">
        <v>4058</v>
      </c>
      <c r="C2028" s="6"/>
      <c r="D2028" s="7">
        <v>45455.0</v>
      </c>
      <c r="E2028" s="7">
        <v>45783.0</v>
      </c>
      <c r="F2028" s="7">
        <v>45783.0</v>
      </c>
    </row>
    <row r="2029">
      <c r="A2029" s="4" t="s">
        <v>4059</v>
      </c>
      <c r="B2029" s="5" t="s">
        <v>4060</v>
      </c>
      <c r="C2029" s="6"/>
      <c r="D2029" s="7">
        <v>45455.0</v>
      </c>
      <c r="E2029" s="7">
        <v>45798.0</v>
      </c>
      <c r="F2029" s="7">
        <v>45798.0</v>
      </c>
    </row>
    <row r="2030">
      <c r="A2030" s="4" t="s">
        <v>4061</v>
      </c>
      <c r="B2030" s="5" t="s">
        <v>4062</v>
      </c>
      <c r="C2030" s="6"/>
      <c r="D2030" s="7">
        <v>45090.0</v>
      </c>
      <c r="E2030" s="7">
        <v>45420.0</v>
      </c>
      <c r="F2030" s="7">
        <v>45420.0</v>
      </c>
    </row>
    <row r="2031">
      <c r="A2031" s="4" t="s">
        <v>4063</v>
      </c>
      <c r="B2031" s="5" t="s">
        <v>4064</v>
      </c>
      <c r="C2031" s="6"/>
      <c r="D2031" s="7">
        <v>45456.0</v>
      </c>
      <c r="E2031" s="7">
        <v>45785.0</v>
      </c>
      <c r="F2031" s="7">
        <v>45785.0</v>
      </c>
    </row>
    <row r="2032">
      <c r="A2032" s="4" t="s">
        <v>4065</v>
      </c>
      <c r="B2032" s="5" t="s">
        <v>4066</v>
      </c>
      <c r="C2032" s="6"/>
      <c r="D2032" s="7">
        <v>45456.0</v>
      </c>
      <c r="E2032" s="7">
        <v>45791.0</v>
      </c>
      <c r="F2032" s="7">
        <v>45791.0</v>
      </c>
    </row>
    <row r="2033">
      <c r="A2033" s="4" t="s">
        <v>4067</v>
      </c>
      <c r="B2033" s="5" t="s">
        <v>4068</v>
      </c>
      <c r="C2033" s="6"/>
      <c r="D2033" s="7">
        <v>45456.0</v>
      </c>
      <c r="E2033" s="7">
        <v>45862.0</v>
      </c>
      <c r="F2033" s="7">
        <v>45862.0</v>
      </c>
    </row>
    <row r="2034">
      <c r="A2034" s="4" t="s">
        <v>4069</v>
      </c>
      <c r="B2034" s="5" t="s">
        <v>4070</v>
      </c>
      <c r="C2034" s="6"/>
      <c r="D2034" s="7">
        <v>45456.0</v>
      </c>
      <c r="E2034" s="7">
        <v>45784.0</v>
      </c>
      <c r="F2034" s="7">
        <v>45784.0</v>
      </c>
    </row>
    <row r="2035">
      <c r="A2035" s="4" t="s">
        <v>4071</v>
      </c>
      <c r="B2035" s="5" t="s">
        <v>4072</v>
      </c>
      <c r="C2035" s="6"/>
      <c r="D2035" s="7">
        <v>45456.0</v>
      </c>
      <c r="E2035" s="7">
        <v>45784.0</v>
      </c>
      <c r="F2035" s="7">
        <v>45784.0</v>
      </c>
    </row>
    <row r="2036">
      <c r="A2036" s="4" t="s">
        <v>4073</v>
      </c>
      <c r="B2036" s="5" t="s">
        <v>4074</v>
      </c>
      <c r="C2036" s="6"/>
      <c r="D2036" s="7">
        <v>45456.0</v>
      </c>
      <c r="E2036" s="7">
        <v>45420.0</v>
      </c>
      <c r="F2036" s="7">
        <v>45420.0</v>
      </c>
    </row>
    <row r="2037">
      <c r="A2037" s="4" t="s">
        <v>4075</v>
      </c>
      <c r="B2037" s="5" t="s">
        <v>4076</v>
      </c>
      <c r="C2037" s="6"/>
      <c r="D2037" s="7">
        <v>45456.0</v>
      </c>
      <c r="E2037" s="7">
        <v>45789.0</v>
      </c>
      <c r="F2037" s="7">
        <v>45789.0</v>
      </c>
    </row>
    <row r="2038">
      <c r="A2038" s="4" t="s">
        <v>4077</v>
      </c>
      <c r="B2038" s="5" t="s">
        <v>4078</v>
      </c>
      <c r="C2038" s="6"/>
      <c r="D2038" s="7">
        <v>45456.0</v>
      </c>
      <c r="E2038" s="7">
        <v>45796.0</v>
      </c>
      <c r="F2038" s="7">
        <v>45796.0</v>
      </c>
    </row>
    <row r="2039">
      <c r="A2039" s="4" t="s">
        <v>4079</v>
      </c>
      <c r="B2039" s="5" t="s">
        <v>4080</v>
      </c>
      <c r="C2039" s="6"/>
      <c r="D2039" s="7">
        <v>45456.0</v>
      </c>
      <c r="E2039" s="7">
        <v>45790.0</v>
      </c>
      <c r="F2039" s="7">
        <v>45790.0</v>
      </c>
    </row>
    <row r="2040">
      <c r="A2040" s="4" t="s">
        <v>4081</v>
      </c>
      <c r="B2040" s="5" t="s">
        <v>4082</v>
      </c>
      <c r="C2040" s="6"/>
      <c r="D2040" s="7">
        <v>45456.0</v>
      </c>
      <c r="E2040" s="7">
        <v>45784.0</v>
      </c>
      <c r="F2040" s="7">
        <v>45784.0</v>
      </c>
    </row>
    <row r="2041">
      <c r="A2041" s="4" t="s">
        <v>4083</v>
      </c>
      <c r="B2041" s="5" t="s">
        <v>4084</v>
      </c>
      <c r="C2041" s="6"/>
      <c r="D2041" s="7">
        <v>45456.0</v>
      </c>
      <c r="E2041" s="7">
        <v>45799.0</v>
      </c>
      <c r="F2041" s="7">
        <v>45799.0</v>
      </c>
    </row>
    <row r="2042">
      <c r="A2042" s="4" t="s">
        <v>4085</v>
      </c>
      <c r="B2042" s="5" t="s">
        <v>4086</v>
      </c>
      <c r="C2042" s="6"/>
      <c r="D2042" s="7">
        <v>45456.0</v>
      </c>
      <c r="E2042" s="7">
        <v>45784.0</v>
      </c>
      <c r="F2042" s="7">
        <v>45784.0</v>
      </c>
    </row>
    <row r="2043">
      <c r="A2043" s="4" t="s">
        <v>4087</v>
      </c>
      <c r="B2043" s="5" t="s">
        <v>4088</v>
      </c>
      <c r="C2043" s="6"/>
      <c r="D2043" s="7">
        <v>45456.0</v>
      </c>
      <c r="E2043" s="7">
        <v>45784.0</v>
      </c>
      <c r="F2043" s="7">
        <v>45784.0</v>
      </c>
    </row>
    <row r="2044">
      <c r="A2044" s="4" t="s">
        <v>4089</v>
      </c>
      <c r="B2044" s="5" t="s">
        <v>4090</v>
      </c>
      <c r="C2044" s="6"/>
      <c r="D2044" s="7">
        <v>45456.0</v>
      </c>
      <c r="E2044" s="7">
        <v>45784.0</v>
      </c>
      <c r="F2044" s="7">
        <v>45784.0</v>
      </c>
    </row>
    <row r="2045">
      <c r="A2045" s="4" t="s">
        <v>4091</v>
      </c>
      <c r="B2045" s="5" t="s">
        <v>4092</v>
      </c>
      <c r="C2045" s="6"/>
      <c r="D2045" s="7">
        <v>45456.0</v>
      </c>
      <c r="E2045" s="7">
        <v>45783.0</v>
      </c>
      <c r="F2045" s="7">
        <v>45783.0</v>
      </c>
    </row>
    <row r="2046">
      <c r="A2046" s="4" t="s">
        <v>4093</v>
      </c>
      <c r="B2046" s="5" t="s">
        <v>4094</v>
      </c>
      <c r="C2046" s="6"/>
      <c r="D2046" s="7">
        <v>45456.0</v>
      </c>
      <c r="E2046" s="7">
        <v>45783.0</v>
      </c>
      <c r="F2046" s="7">
        <v>45783.0</v>
      </c>
    </row>
    <row r="2047">
      <c r="A2047" s="4" t="s">
        <v>4095</v>
      </c>
      <c r="B2047" s="5" t="s">
        <v>4096</v>
      </c>
      <c r="C2047" s="6"/>
      <c r="D2047" s="7">
        <v>45456.0</v>
      </c>
      <c r="E2047" s="7">
        <v>45783.0</v>
      </c>
      <c r="F2047" s="7">
        <v>45783.0</v>
      </c>
    </row>
    <row r="2048">
      <c r="A2048" s="4" t="s">
        <v>4097</v>
      </c>
      <c r="B2048" s="5" t="s">
        <v>4098</v>
      </c>
      <c r="C2048" s="6"/>
      <c r="D2048" s="7">
        <v>45456.0</v>
      </c>
      <c r="E2048" s="7">
        <v>45783.0</v>
      </c>
      <c r="F2048" s="7">
        <v>45783.0</v>
      </c>
    </row>
    <row r="2049">
      <c r="A2049" s="4" t="s">
        <v>4099</v>
      </c>
      <c r="B2049" s="5" t="s">
        <v>4100</v>
      </c>
      <c r="C2049" s="6"/>
      <c r="D2049" s="7">
        <v>45456.0</v>
      </c>
      <c r="E2049" s="7">
        <v>45783.0</v>
      </c>
      <c r="F2049" s="7">
        <v>45783.0</v>
      </c>
    </row>
    <row r="2050">
      <c r="A2050" s="4" t="s">
        <v>4101</v>
      </c>
      <c r="B2050" s="5" t="s">
        <v>4102</v>
      </c>
      <c r="C2050" s="6"/>
      <c r="D2050" s="7">
        <v>45456.0</v>
      </c>
      <c r="E2050" s="7">
        <v>45790.0</v>
      </c>
      <c r="F2050" s="7">
        <v>45790.0</v>
      </c>
    </row>
    <row r="2051">
      <c r="A2051" s="4" t="s">
        <v>4103</v>
      </c>
      <c r="B2051" s="5" t="s">
        <v>4104</v>
      </c>
      <c r="C2051" s="6"/>
      <c r="D2051" s="7">
        <v>45456.0</v>
      </c>
      <c r="E2051" s="7">
        <v>45784.0</v>
      </c>
      <c r="F2051" s="7">
        <v>45784.0</v>
      </c>
    </row>
    <row r="2052">
      <c r="A2052" s="4" t="s">
        <v>4105</v>
      </c>
      <c r="B2052" s="5" t="s">
        <v>4106</v>
      </c>
      <c r="C2052" s="6"/>
      <c r="D2052" s="7">
        <v>45456.0</v>
      </c>
      <c r="E2052" s="7">
        <v>45784.0</v>
      </c>
      <c r="F2052" s="7">
        <v>45784.0</v>
      </c>
    </row>
    <row r="2053">
      <c r="A2053" s="4" t="s">
        <v>4107</v>
      </c>
      <c r="B2053" s="5" t="s">
        <v>4108</v>
      </c>
      <c r="C2053" s="6"/>
      <c r="D2053" s="7">
        <v>45456.0</v>
      </c>
      <c r="E2053" s="7">
        <v>45784.0</v>
      </c>
      <c r="F2053" s="7">
        <v>45784.0</v>
      </c>
    </row>
    <row r="2054">
      <c r="A2054" s="4" t="s">
        <v>4109</v>
      </c>
      <c r="B2054" s="5" t="s">
        <v>4110</v>
      </c>
      <c r="C2054" s="6"/>
      <c r="D2054" s="7">
        <v>45456.0</v>
      </c>
      <c r="E2054" s="7">
        <v>45785.0</v>
      </c>
      <c r="F2054" s="7">
        <v>45785.0</v>
      </c>
    </row>
    <row r="2055">
      <c r="A2055" s="4" t="s">
        <v>4111</v>
      </c>
      <c r="B2055" s="5" t="s">
        <v>4112</v>
      </c>
      <c r="C2055" s="6"/>
      <c r="D2055" s="7">
        <v>45456.0</v>
      </c>
      <c r="E2055" s="7">
        <v>45783.0</v>
      </c>
      <c r="F2055" s="7">
        <v>45783.0</v>
      </c>
    </row>
    <row r="2056">
      <c r="A2056" s="4" t="s">
        <v>4113</v>
      </c>
      <c r="B2056" s="5" t="s">
        <v>4114</v>
      </c>
      <c r="C2056" s="6"/>
      <c r="D2056" s="7">
        <v>45456.0</v>
      </c>
      <c r="E2056" s="7">
        <v>45783.0</v>
      </c>
      <c r="F2056" s="7">
        <v>45783.0</v>
      </c>
    </row>
    <row r="2057">
      <c r="A2057" s="4" t="s">
        <v>4115</v>
      </c>
      <c r="B2057" s="5" t="s">
        <v>4116</v>
      </c>
      <c r="C2057" s="6"/>
      <c r="D2057" s="7">
        <v>45456.0</v>
      </c>
      <c r="E2057" s="7">
        <v>45782.0</v>
      </c>
      <c r="F2057" s="7">
        <v>45782.0</v>
      </c>
    </row>
    <row r="2058">
      <c r="A2058" s="4" t="s">
        <v>4117</v>
      </c>
      <c r="B2058" s="5" t="s">
        <v>4118</v>
      </c>
      <c r="C2058" s="6"/>
      <c r="D2058" s="7">
        <v>45456.0</v>
      </c>
      <c r="E2058" s="7">
        <v>45783.0</v>
      </c>
      <c r="F2058" s="7">
        <v>45783.0</v>
      </c>
    </row>
    <row r="2059">
      <c r="A2059" s="4" t="s">
        <v>4119</v>
      </c>
      <c r="B2059" s="5" t="s">
        <v>4120</v>
      </c>
      <c r="C2059" s="6"/>
      <c r="D2059" s="7">
        <v>45456.0</v>
      </c>
      <c r="E2059" s="7">
        <v>45783.0</v>
      </c>
      <c r="F2059" s="7">
        <v>45783.0</v>
      </c>
    </row>
    <row r="2060">
      <c r="A2060" s="4" t="s">
        <v>4121</v>
      </c>
      <c r="B2060" s="5" t="s">
        <v>4122</v>
      </c>
      <c r="C2060" s="6"/>
      <c r="D2060" s="7">
        <v>45456.0</v>
      </c>
      <c r="E2060" s="7">
        <v>45785.0</v>
      </c>
      <c r="F2060" s="7">
        <v>45785.0</v>
      </c>
    </row>
    <row r="2061">
      <c r="A2061" s="4" t="s">
        <v>4123</v>
      </c>
      <c r="B2061" s="5" t="s">
        <v>4124</v>
      </c>
      <c r="C2061" s="6"/>
      <c r="D2061" s="7">
        <v>45456.0</v>
      </c>
      <c r="E2061" s="7">
        <v>45783.0</v>
      </c>
      <c r="F2061" s="7">
        <v>45783.0</v>
      </c>
    </row>
    <row r="2062">
      <c r="A2062" s="4" t="s">
        <v>4125</v>
      </c>
      <c r="B2062" s="5" t="s">
        <v>4126</v>
      </c>
      <c r="C2062" s="6"/>
      <c r="D2062" s="7">
        <v>45456.0</v>
      </c>
      <c r="E2062" s="7">
        <v>45783.0</v>
      </c>
      <c r="F2062" s="7">
        <v>45783.0</v>
      </c>
    </row>
    <row r="2063">
      <c r="A2063" s="4" t="s">
        <v>4127</v>
      </c>
      <c r="B2063" s="5" t="s">
        <v>4128</v>
      </c>
      <c r="C2063" s="6"/>
      <c r="D2063" s="7">
        <v>45456.0</v>
      </c>
      <c r="E2063" s="7">
        <v>45776.0</v>
      </c>
      <c r="F2063" s="7">
        <v>45776.0</v>
      </c>
    </row>
    <row r="2064">
      <c r="A2064" s="4" t="s">
        <v>4129</v>
      </c>
      <c r="B2064" s="5" t="s">
        <v>4130</v>
      </c>
      <c r="C2064" s="6"/>
      <c r="D2064" s="7">
        <v>45456.0</v>
      </c>
      <c r="E2064" s="7">
        <v>45783.0</v>
      </c>
      <c r="F2064" s="7">
        <v>45783.0</v>
      </c>
    </row>
    <row r="2065">
      <c r="A2065" s="4" t="s">
        <v>4131</v>
      </c>
      <c r="B2065" s="5" t="s">
        <v>4132</v>
      </c>
      <c r="C2065" s="6"/>
      <c r="D2065" s="7">
        <v>45456.0</v>
      </c>
      <c r="E2065" s="7">
        <v>45783.0</v>
      </c>
      <c r="F2065" s="7">
        <v>45783.0</v>
      </c>
    </row>
    <row r="2066">
      <c r="A2066" s="4" t="s">
        <v>4133</v>
      </c>
      <c r="B2066" s="5" t="s">
        <v>4134</v>
      </c>
      <c r="C2066" s="6"/>
      <c r="D2066" s="7">
        <v>45456.0</v>
      </c>
      <c r="E2066" s="7">
        <v>45783.0</v>
      </c>
      <c r="F2066" s="7">
        <v>45783.0</v>
      </c>
    </row>
    <row r="2067">
      <c r="A2067" s="4" t="s">
        <v>4135</v>
      </c>
      <c r="B2067" s="5" t="s">
        <v>4136</v>
      </c>
      <c r="C2067" s="6"/>
      <c r="D2067" s="7">
        <v>45456.0</v>
      </c>
      <c r="E2067" s="7">
        <v>45784.0</v>
      </c>
      <c r="F2067" s="7">
        <v>45784.0</v>
      </c>
    </row>
    <row r="2068">
      <c r="A2068" s="4" t="s">
        <v>4137</v>
      </c>
      <c r="B2068" s="5" t="s">
        <v>4138</v>
      </c>
      <c r="C2068" s="6"/>
      <c r="D2068" s="7">
        <v>45456.0</v>
      </c>
      <c r="E2068" s="7">
        <v>45783.0</v>
      </c>
      <c r="F2068" s="7">
        <v>45783.0</v>
      </c>
    </row>
    <row r="2069">
      <c r="A2069" s="4" t="s">
        <v>4139</v>
      </c>
      <c r="B2069" s="5" t="s">
        <v>4140</v>
      </c>
      <c r="C2069" s="6"/>
      <c r="D2069" s="7">
        <v>45456.0</v>
      </c>
      <c r="E2069" s="7">
        <v>45791.0</v>
      </c>
      <c r="F2069" s="7">
        <v>45791.0</v>
      </c>
    </row>
    <row r="2070">
      <c r="A2070" s="4" t="s">
        <v>4141</v>
      </c>
      <c r="B2070" s="5" t="s">
        <v>4142</v>
      </c>
      <c r="C2070" s="6"/>
      <c r="D2070" s="7">
        <v>45456.0</v>
      </c>
      <c r="E2070" s="7">
        <v>45789.0</v>
      </c>
      <c r="F2070" s="7">
        <v>45789.0</v>
      </c>
    </row>
    <row r="2071">
      <c r="A2071" s="4" t="s">
        <v>4143</v>
      </c>
      <c r="B2071" s="5" t="s">
        <v>4144</v>
      </c>
      <c r="C2071" s="6"/>
      <c r="D2071" s="7">
        <v>45456.0</v>
      </c>
      <c r="E2071" s="7">
        <v>45783.0</v>
      </c>
      <c r="F2071" s="7">
        <v>45783.0</v>
      </c>
    </row>
    <row r="2072">
      <c r="A2072" s="4" t="s">
        <v>4145</v>
      </c>
      <c r="B2072" s="5" t="s">
        <v>4146</v>
      </c>
      <c r="C2072" s="6"/>
      <c r="D2072" s="7">
        <v>45456.0</v>
      </c>
      <c r="E2072" s="7">
        <v>45783.0</v>
      </c>
      <c r="F2072" s="7">
        <v>45783.0</v>
      </c>
    </row>
    <row r="2073">
      <c r="A2073" s="4" t="s">
        <v>4147</v>
      </c>
      <c r="B2073" s="5" t="s">
        <v>4148</v>
      </c>
      <c r="C2073" s="6"/>
      <c r="D2073" s="7">
        <v>45456.0</v>
      </c>
      <c r="E2073" s="7">
        <v>45783.0</v>
      </c>
      <c r="F2073" s="7">
        <v>45783.0</v>
      </c>
    </row>
    <row r="2074">
      <c r="A2074" s="4" t="s">
        <v>4149</v>
      </c>
      <c r="B2074" s="5" t="s">
        <v>4150</v>
      </c>
      <c r="C2074" s="6"/>
      <c r="D2074" s="7">
        <v>45456.0</v>
      </c>
      <c r="E2074" s="7">
        <v>45791.0</v>
      </c>
      <c r="F2074" s="7">
        <v>45791.0</v>
      </c>
    </row>
    <row r="2075">
      <c r="A2075" s="4" t="s">
        <v>4151</v>
      </c>
      <c r="B2075" s="5" t="s">
        <v>4152</v>
      </c>
      <c r="C2075" s="6"/>
      <c r="D2075" s="7">
        <v>45456.0</v>
      </c>
      <c r="E2075" s="7">
        <v>45793.0</v>
      </c>
      <c r="F2075" s="7">
        <v>45793.0</v>
      </c>
    </row>
    <row r="2076">
      <c r="A2076" s="4" t="s">
        <v>4153</v>
      </c>
      <c r="B2076" s="5" t="s">
        <v>4154</v>
      </c>
      <c r="C2076" s="6"/>
      <c r="D2076" s="7">
        <v>45456.0</v>
      </c>
      <c r="E2076" s="7">
        <v>45783.0</v>
      </c>
      <c r="F2076" s="7">
        <v>45783.0</v>
      </c>
    </row>
    <row r="2077">
      <c r="A2077" s="4" t="s">
        <v>4155</v>
      </c>
      <c r="B2077" s="5" t="s">
        <v>4156</v>
      </c>
      <c r="C2077" s="6"/>
      <c r="D2077" s="7">
        <v>45456.0</v>
      </c>
      <c r="E2077" s="7">
        <v>45784.0</v>
      </c>
      <c r="F2077" s="7">
        <v>45784.0</v>
      </c>
    </row>
    <row r="2078">
      <c r="A2078" s="4" t="s">
        <v>4157</v>
      </c>
      <c r="B2078" s="5" t="s">
        <v>4158</v>
      </c>
      <c r="C2078" s="6"/>
      <c r="D2078" s="7">
        <v>45456.0</v>
      </c>
      <c r="E2078" s="7">
        <v>45791.0</v>
      </c>
      <c r="F2078" s="7">
        <v>45791.0</v>
      </c>
    </row>
    <row r="2079">
      <c r="A2079" s="4" t="s">
        <v>4159</v>
      </c>
      <c r="B2079" s="5" t="s">
        <v>4160</v>
      </c>
      <c r="C2079" s="6"/>
      <c r="D2079" s="7">
        <v>45456.0</v>
      </c>
      <c r="E2079" s="7">
        <v>45798.0</v>
      </c>
      <c r="F2079" s="7">
        <v>45798.0</v>
      </c>
    </row>
    <row r="2080">
      <c r="A2080" s="4" t="s">
        <v>4161</v>
      </c>
      <c r="B2080" s="5" t="s">
        <v>4162</v>
      </c>
      <c r="C2080" s="6"/>
      <c r="D2080" s="7">
        <v>45456.0</v>
      </c>
      <c r="E2080" s="7">
        <v>45784.0</v>
      </c>
      <c r="F2080" s="7">
        <v>45784.0</v>
      </c>
    </row>
    <row r="2081">
      <c r="A2081" s="4" t="s">
        <v>4163</v>
      </c>
      <c r="B2081" s="5" t="s">
        <v>4164</v>
      </c>
      <c r="C2081" s="6"/>
      <c r="D2081" s="7">
        <v>45456.0</v>
      </c>
      <c r="E2081" s="7">
        <v>45778.0</v>
      </c>
      <c r="F2081" s="7">
        <v>45778.0</v>
      </c>
    </row>
    <row r="2082">
      <c r="A2082" s="4" t="s">
        <v>4165</v>
      </c>
      <c r="B2082" s="5" t="s">
        <v>4166</v>
      </c>
      <c r="C2082" s="6"/>
      <c r="D2082" s="7">
        <v>45456.0</v>
      </c>
      <c r="E2082" s="7">
        <v>45783.0</v>
      </c>
      <c r="F2082" s="7">
        <v>45783.0</v>
      </c>
    </row>
    <row r="2083">
      <c r="A2083" s="4" t="s">
        <v>4167</v>
      </c>
      <c r="B2083" s="5" t="s">
        <v>4168</v>
      </c>
      <c r="C2083" s="6"/>
      <c r="D2083" s="7">
        <v>45456.0</v>
      </c>
      <c r="E2083" s="7">
        <v>45783.0</v>
      </c>
      <c r="F2083" s="7">
        <v>45783.0</v>
      </c>
    </row>
    <row r="2084">
      <c r="A2084" s="4" t="s">
        <v>4169</v>
      </c>
      <c r="B2084" s="5" t="s">
        <v>4170</v>
      </c>
      <c r="C2084" s="6"/>
      <c r="D2084" s="7">
        <v>45456.0</v>
      </c>
      <c r="E2084" s="7">
        <v>45784.0</v>
      </c>
      <c r="F2084" s="7">
        <v>45784.0</v>
      </c>
    </row>
    <row r="2085">
      <c r="A2085" s="4" t="s">
        <v>4171</v>
      </c>
      <c r="B2085" s="5" t="s">
        <v>4172</v>
      </c>
      <c r="C2085" s="6"/>
      <c r="D2085" s="7">
        <v>45456.0</v>
      </c>
      <c r="E2085" s="7">
        <v>45791.0</v>
      </c>
      <c r="F2085" s="7">
        <v>45791.0</v>
      </c>
    </row>
    <row r="2086">
      <c r="A2086" s="4" t="s">
        <v>4173</v>
      </c>
      <c r="B2086" s="5" t="s">
        <v>4174</v>
      </c>
      <c r="C2086" s="6"/>
      <c r="D2086" s="7">
        <v>45456.0</v>
      </c>
      <c r="E2086" s="7">
        <v>45419.0</v>
      </c>
      <c r="F2086" s="7">
        <v>45419.0</v>
      </c>
    </row>
    <row r="2087">
      <c r="A2087" s="4" t="s">
        <v>4175</v>
      </c>
      <c r="B2087" s="5" t="s">
        <v>4176</v>
      </c>
      <c r="C2087" s="6"/>
      <c r="D2087" s="7">
        <v>45456.0</v>
      </c>
      <c r="E2087" s="7">
        <v>45783.0</v>
      </c>
      <c r="F2087" s="7">
        <v>45783.0</v>
      </c>
    </row>
    <row r="2088">
      <c r="A2088" s="4" t="s">
        <v>4177</v>
      </c>
      <c r="B2088" s="5" t="s">
        <v>4178</v>
      </c>
      <c r="C2088" s="6"/>
      <c r="D2088" s="7">
        <v>45456.0</v>
      </c>
      <c r="E2088" s="7">
        <v>45750.0</v>
      </c>
      <c r="F2088" s="7">
        <v>45750.0</v>
      </c>
    </row>
    <row r="2089">
      <c r="A2089" s="4" t="s">
        <v>4179</v>
      </c>
      <c r="B2089" s="5" t="s">
        <v>4180</v>
      </c>
      <c r="C2089" s="6"/>
      <c r="D2089" s="7">
        <v>45456.0</v>
      </c>
      <c r="E2089" s="7">
        <v>45793.0</v>
      </c>
      <c r="F2089" s="7">
        <v>45793.0</v>
      </c>
    </row>
    <row r="2090">
      <c r="A2090" s="4" t="s">
        <v>4181</v>
      </c>
      <c r="B2090" s="5" t="s">
        <v>4182</v>
      </c>
      <c r="C2090" s="6"/>
      <c r="D2090" s="7">
        <v>45456.0</v>
      </c>
      <c r="E2090" s="7">
        <v>45783.0</v>
      </c>
      <c r="F2090" s="7">
        <v>45783.0</v>
      </c>
    </row>
    <row r="2091">
      <c r="A2091" s="4" t="s">
        <v>4183</v>
      </c>
      <c r="B2091" s="5" t="s">
        <v>4184</v>
      </c>
      <c r="C2091" s="6"/>
      <c r="D2091" s="7">
        <v>45456.0</v>
      </c>
      <c r="E2091" s="7">
        <v>45806.0</v>
      </c>
      <c r="F2091" s="7">
        <v>45806.0</v>
      </c>
    </row>
    <row r="2092">
      <c r="A2092" s="4" t="s">
        <v>4185</v>
      </c>
      <c r="B2092" s="5" t="s">
        <v>4186</v>
      </c>
      <c r="C2092" s="6"/>
      <c r="D2092" s="7">
        <v>45456.0</v>
      </c>
      <c r="E2092" s="7">
        <v>45792.0</v>
      </c>
      <c r="F2092" s="7">
        <v>45792.0</v>
      </c>
    </row>
    <row r="2093">
      <c r="A2093" s="4" t="s">
        <v>4187</v>
      </c>
      <c r="B2093" s="5" t="s">
        <v>4188</v>
      </c>
      <c r="C2093" s="6"/>
      <c r="D2093" s="7">
        <v>45456.0</v>
      </c>
      <c r="E2093" s="7">
        <v>45797.0</v>
      </c>
      <c r="F2093" s="7">
        <v>45797.0</v>
      </c>
    </row>
    <row r="2094">
      <c r="A2094" s="4" t="s">
        <v>4189</v>
      </c>
      <c r="B2094" s="5" t="s">
        <v>4190</v>
      </c>
      <c r="C2094" s="6"/>
      <c r="D2094" s="7">
        <v>45456.0</v>
      </c>
      <c r="E2094" s="7">
        <v>45778.0</v>
      </c>
      <c r="F2094" s="7">
        <v>45778.0</v>
      </c>
    </row>
    <row r="2095">
      <c r="A2095" s="4" t="s">
        <v>4191</v>
      </c>
      <c r="B2095" s="5" t="s">
        <v>4192</v>
      </c>
      <c r="C2095" s="6"/>
      <c r="D2095" s="7">
        <v>45456.0</v>
      </c>
      <c r="E2095" s="7">
        <v>45783.0</v>
      </c>
      <c r="F2095" s="7">
        <v>45783.0</v>
      </c>
    </row>
    <row r="2096">
      <c r="A2096" s="4" t="s">
        <v>4193</v>
      </c>
      <c r="B2096" s="5" t="s">
        <v>4194</v>
      </c>
      <c r="C2096" s="6"/>
      <c r="D2096" s="7">
        <v>45456.0</v>
      </c>
      <c r="E2096" s="7">
        <v>45783.0</v>
      </c>
      <c r="F2096" s="7">
        <v>45783.0</v>
      </c>
    </row>
    <row r="2097">
      <c r="A2097" s="4" t="s">
        <v>4195</v>
      </c>
      <c r="B2097" s="5" t="s">
        <v>4196</v>
      </c>
      <c r="C2097" s="6"/>
      <c r="D2097" s="7">
        <v>45456.0</v>
      </c>
      <c r="E2097" s="7">
        <v>45783.0</v>
      </c>
      <c r="F2097" s="7">
        <v>45783.0</v>
      </c>
    </row>
    <row r="2098">
      <c r="A2098" s="4" t="s">
        <v>4197</v>
      </c>
      <c r="B2098" s="5" t="s">
        <v>4198</v>
      </c>
      <c r="C2098" s="6"/>
      <c r="D2098" s="7">
        <v>45456.0</v>
      </c>
      <c r="E2098" s="7">
        <v>45791.0</v>
      </c>
      <c r="F2098" s="7">
        <v>45791.0</v>
      </c>
    </row>
    <row r="2099">
      <c r="A2099" s="4" t="s">
        <v>4199</v>
      </c>
      <c r="B2099" s="5" t="s">
        <v>4200</v>
      </c>
      <c r="C2099" s="6"/>
      <c r="D2099" s="7">
        <v>45456.0</v>
      </c>
      <c r="E2099" s="7">
        <v>45790.0</v>
      </c>
      <c r="F2099" s="7">
        <v>45790.0</v>
      </c>
    </row>
    <row r="2100">
      <c r="A2100" s="4" t="s">
        <v>4201</v>
      </c>
      <c r="B2100" s="5" t="s">
        <v>4202</v>
      </c>
      <c r="C2100" s="6"/>
      <c r="D2100" s="7">
        <v>45456.0</v>
      </c>
      <c r="E2100" s="7">
        <v>45790.0</v>
      </c>
      <c r="F2100" s="7">
        <v>45790.0</v>
      </c>
    </row>
    <row r="2101">
      <c r="A2101" s="4" t="s">
        <v>4203</v>
      </c>
      <c r="B2101" s="5" t="s">
        <v>4204</v>
      </c>
      <c r="C2101" s="6"/>
      <c r="D2101" s="7">
        <v>45456.0</v>
      </c>
      <c r="E2101" s="7">
        <v>45783.0</v>
      </c>
      <c r="F2101" s="7">
        <v>45783.0</v>
      </c>
    </row>
    <row r="2102">
      <c r="A2102" s="4" t="s">
        <v>4205</v>
      </c>
      <c r="B2102" s="5" t="s">
        <v>4206</v>
      </c>
      <c r="C2102" s="6"/>
      <c r="D2102" s="7">
        <v>45091.0</v>
      </c>
      <c r="E2102" s="7">
        <v>45790.0</v>
      </c>
      <c r="F2102" s="7">
        <v>45790.0</v>
      </c>
    </row>
    <row r="2103">
      <c r="A2103" s="4" t="s">
        <v>4207</v>
      </c>
      <c r="B2103" s="5" t="s">
        <v>4208</v>
      </c>
      <c r="C2103" s="6"/>
      <c r="D2103" s="7">
        <v>45457.0</v>
      </c>
      <c r="E2103" s="7">
        <v>45790.0</v>
      </c>
      <c r="F2103" s="7">
        <v>45790.0</v>
      </c>
    </row>
    <row r="2104">
      <c r="A2104" s="4" t="s">
        <v>4209</v>
      </c>
      <c r="B2104" s="5" t="s">
        <v>4210</v>
      </c>
      <c r="C2104" s="6"/>
      <c r="D2104" s="7">
        <v>45457.0</v>
      </c>
      <c r="E2104" s="7">
        <v>45783.0</v>
      </c>
      <c r="F2104" s="7">
        <v>45783.0</v>
      </c>
    </row>
    <row r="2105">
      <c r="A2105" s="4" t="s">
        <v>4211</v>
      </c>
      <c r="B2105" s="5" t="s">
        <v>4212</v>
      </c>
      <c r="C2105" s="6"/>
      <c r="D2105" s="7">
        <v>45457.0</v>
      </c>
      <c r="E2105" s="7">
        <v>45785.0</v>
      </c>
      <c r="F2105" s="7">
        <v>45785.0</v>
      </c>
    </row>
    <row r="2106">
      <c r="A2106" s="4" t="s">
        <v>4213</v>
      </c>
      <c r="B2106" s="5" t="s">
        <v>4214</v>
      </c>
      <c r="C2106" s="6"/>
      <c r="D2106" s="7">
        <v>45457.0</v>
      </c>
      <c r="E2106" s="7">
        <v>45814.0</v>
      </c>
      <c r="F2106" s="7">
        <v>45814.0</v>
      </c>
    </row>
    <row r="2107">
      <c r="A2107" s="4" t="s">
        <v>4215</v>
      </c>
      <c r="B2107" s="5" t="s">
        <v>4216</v>
      </c>
      <c r="C2107" s="6"/>
      <c r="D2107" s="7">
        <v>45457.0</v>
      </c>
      <c r="E2107" s="7">
        <v>45783.0</v>
      </c>
      <c r="F2107" s="7">
        <v>45783.0</v>
      </c>
    </row>
    <row r="2108">
      <c r="A2108" s="4" t="s">
        <v>4217</v>
      </c>
      <c r="B2108" s="5" t="s">
        <v>4218</v>
      </c>
      <c r="C2108" s="6"/>
      <c r="D2108" s="7">
        <v>45457.0</v>
      </c>
      <c r="E2108" s="7">
        <v>45783.0</v>
      </c>
      <c r="F2108" s="7">
        <v>45783.0</v>
      </c>
    </row>
    <row r="2109">
      <c r="A2109" s="4" t="s">
        <v>4219</v>
      </c>
      <c r="B2109" s="5" t="s">
        <v>4220</v>
      </c>
      <c r="C2109" s="6"/>
      <c r="D2109" s="7">
        <v>45457.0</v>
      </c>
      <c r="E2109" s="7">
        <v>45783.0</v>
      </c>
      <c r="F2109" s="7">
        <v>45783.0</v>
      </c>
    </row>
    <row r="2110">
      <c r="A2110" s="4" t="s">
        <v>4221</v>
      </c>
      <c r="B2110" s="5" t="s">
        <v>4222</v>
      </c>
      <c r="C2110" s="6"/>
      <c r="D2110" s="7">
        <v>45457.0</v>
      </c>
      <c r="E2110" s="7">
        <v>45782.0</v>
      </c>
      <c r="F2110" s="7">
        <v>45782.0</v>
      </c>
    </row>
    <row r="2111">
      <c r="A2111" s="4" t="s">
        <v>4223</v>
      </c>
      <c r="B2111" s="5" t="s">
        <v>4224</v>
      </c>
      <c r="C2111" s="6"/>
      <c r="D2111" s="7">
        <v>45457.0</v>
      </c>
      <c r="E2111" s="7">
        <v>45776.0</v>
      </c>
      <c r="F2111" s="7">
        <v>45776.0</v>
      </c>
    </row>
    <row r="2112">
      <c r="A2112" s="4" t="s">
        <v>4225</v>
      </c>
      <c r="B2112" s="5" t="s">
        <v>4226</v>
      </c>
      <c r="C2112" s="6"/>
      <c r="D2112" s="7">
        <v>45457.0</v>
      </c>
      <c r="E2112" s="7">
        <v>45782.0</v>
      </c>
      <c r="F2112" s="7">
        <v>45782.0</v>
      </c>
    </row>
    <row r="2113">
      <c r="A2113" s="4" t="s">
        <v>4227</v>
      </c>
      <c r="B2113" s="5" t="s">
        <v>4228</v>
      </c>
      <c r="C2113" s="6"/>
      <c r="D2113" s="7">
        <v>45457.0</v>
      </c>
      <c r="E2113" s="7">
        <v>45782.0</v>
      </c>
      <c r="F2113" s="7">
        <v>45782.0</v>
      </c>
    </row>
    <row r="2114">
      <c r="A2114" s="4" t="s">
        <v>4229</v>
      </c>
      <c r="B2114" s="5" t="s">
        <v>4230</v>
      </c>
      <c r="C2114" s="6"/>
      <c r="D2114" s="7">
        <v>45457.0</v>
      </c>
      <c r="E2114" s="7">
        <v>45784.0</v>
      </c>
      <c r="F2114" s="7">
        <v>45784.0</v>
      </c>
    </row>
    <row r="2115">
      <c r="A2115" s="4" t="s">
        <v>4231</v>
      </c>
      <c r="B2115" s="5" t="s">
        <v>4232</v>
      </c>
      <c r="C2115" s="6"/>
      <c r="D2115" s="7">
        <v>45457.0</v>
      </c>
      <c r="E2115" s="7">
        <v>45783.0</v>
      </c>
      <c r="F2115" s="7">
        <v>45783.0</v>
      </c>
    </row>
    <row r="2116">
      <c r="A2116" s="4" t="s">
        <v>4233</v>
      </c>
      <c r="B2116" s="5" t="s">
        <v>4234</v>
      </c>
      <c r="C2116" s="6"/>
      <c r="D2116" s="7">
        <v>45457.0</v>
      </c>
      <c r="E2116" s="7">
        <v>45777.0</v>
      </c>
      <c r="F2116" s="7">
        <v>45777.0</v>
      </c>
    </row>
    <row r="2117">
      <c r="A2117" s="4" t="s">
        <v>4235</v>
      </c>
      <c r="B2117" s="5" t="s">
        <v>4236</v>
      </c>
      <c r="C2117" s="6"/>
      <c r="D2117" s="7">
        <v>45457.0</v>
      </c>
      <c r="E2117" s="7">
        <v>45777.0</v>
      </c>
      <c r="F2117" s="7">
        <v>45777.0</v>
      </c>
    </row>
    <row r="2118">
      <c r="A2118" s="4" t="s">
        <v>4237</v>
      </c>
      <c r="B2118" s="5" t="s">
        <v>4238</v>
      </c>
      <c r="C2118" s="6"/>
      <c r="D2118" s="7">
        <v>45457.0</v>
      </c>
      <c r="E2118" s="7">
        <v>45775.0</v>
      </c>
      <c r="F2118" s="7">
        <v>45775.0</v>
      </c>
    </row>
    <row r="2119">
      <c r="A2119" s="4" t="s">
        <v>4239</v>
      </c>
      <c r="B2119" s="5" t="s">
        <v>4240</v>
      </c>
      <c r="C2119" s="6"/>
      <c r="D2119" s="7">
        <v>45457.0</v>
      </c>
      <c r="E2119" s="7">
        <v>45782.0</v>
      </c>
      <c r="F2119" s="7">
        <v>45782.0</v>
      </c>
    </row>
    <row r="2120">
      <c r="A2120" s="4" t="s">
        <v>4241</v>
      </c>
      <c r="B2120" s="5" t="s">
        <v>4242</v>
      </c>
      <c r="C2120" s="6"/>
      <c r="D2120" s="7">
        <v>45457.0</v>
      </c>
      <c r="E2120" s="7">
        <v>45782.0</v>
      </c>
      <c r="F2120" s="7">
        <v>45782.0</v>
      </c>
    </row>
    <row r="2121">
      <c r="A2121" s="4" t="s">
        <v>4243</v>
      </c>
      <c r="B2121" s="5" t="s">
        <v>4244</v>
      </c>
      <c r="C2121" s="6"/>
      <c r="D2121" s="7">
        <v>45457.0</v>
      </c>
      <c r="E2121" s="7">
        <v>45782.0</v>
      </c>
      <c r="F2121" s="7">
        <v>45782.0</v>
      </c>
    </row>
    <row r="2122">
      <c r="A2122" s="4" t="s">
        <v>4245</v>
      </c>
      <c r="B2122" s="5" t="s">
        <v>4246</v>
      </c>
      <c r="C2122" s="6"/>
      <c r="D2122" s="7">
        <v>45457.0</v>
      </c>
      <c r="E2122" s="7">
        <v>45873.0</v>
      </c>
      <c r="F2122" s="7">
        <v>45873.0</v>
      </c>
    </row>
    <row r="2123">
      <c r="A2123" s="4" t="s">
        <v>4247</v>
      </c>
      <c r="B2123" s="5" t="s">
        <v>4248</v>
      </c>
      <c r="C2123" s="6"/>
      <c r="D2123" s="7">
        <v>45457.0</v>
      </c>
      <c r="E2123" s="7">
        <v>45796.0</v>
      </c>
      <c r="F2123" s="7">
        <v>45796.0</v>
      </c>
    </row>
    <row r="2124">
      <c r="A2124" s="4" t="s">
        <v>4249</v>
      </c>
      <c r="B2124" s="5" t="s">
        <v>4250</v>
      </c>
      <c r="C2124" s="6"/>
      <c r="D2124" s="7">
        <v>45457.0</v>
      </c>
      <c r="E2124" s="7">
        <v>45782.0</v>
      </c>
      <c r="F2124" s="7">
        <v>45782.0</v>
      </c>
    </row>
    <row r="2125">
      <c r="A2125" s="4" t="s">
        <v>4251</v>
      </c>
      <c r="B2125" s="5" t="s">
        <v>4252</v>
      </c>
      <c r="C2125" s="6"/>
      <c r="D2125" s="7">
        <v>45457.0</v>
      </c>
      <c r="E2125" s="7">
        <v>45789.0</v>
      </c>
      <c r="F2125" s="7">
        <v>45789.0</v>
      </c>
    </row>
    <row r="2126">
      <c r="A2126" s="4" t="s">
        <v>4253</v>
      </c>
      <c r="B2126" s="5" t="s">
        <v>4254</v>
      </c>
      <c r="C2126" s="6"/>
      <c r="D2126" s="7">
        <v>45457.0</v>
      </c>
      <c r="E2126" s="7">
        <v>45782.0</v>
      </c>
      <c r="F2126" s="7">
        <v>45782.0</v>
      </c>
    </row>
    <row r="2127">
      <c r="A2127" s="4" t="s">
        <v>4255</v>
      </c>
      <c r="B2127" s="5" t="s">
        <v>4256</v>
      </c>
      <c r="C2127" s="6"/>
      <c r="D2127" s="7">
        <v>45457.0</v>
      </c>
      <c r="E2127" s="7">
        <v>45790.0</v>
      </c>
      <c r="F2127" s="7">
        <v>45790.0</v>
      </c>
    </row>
    <row r="2128">
      <c r="A2128" s="4" t="s">
        <v>4257</v>
      </c>
      <c r="B2128" s="5" t="s">
        <v>4258</v>
      </c>
      <c r="C2128" s="6"/>
      <c r="D2128" s="7">
        <v>45457.0</v>
      </c>
      <c r="E2128" s="7">
        <v>45780.0</v>
      </c>
      <c r="F2128" s="7">
        <v>45780.0</v>
      </c>
    </row>
    <row r="2129">
      <c r="A2129" s="4" t="s">
        <v>4259</v>
      </c>
      <c r="B2129" s="5" t="s">
        <v>4260</v>
      </c>
      <c r="C2129" s="6"/>
      <c r="D2129" s="7">
        <v>45460.0</v>
      </c>
      <c r="E2129" s="7">
        <v>45780.0</v>
      </c>
      <c r="F2129" s="7">
        <v>45780.0</v>
      </c>
    </row>
    <row r="2130">
      <c r="A2130" s="4" t="s">
        <v>4261</v>
      </c>
      <c r="B2130" s="5" t="s">
        <v>4262</v>
      </c>
      <c r="C2130" s="6"/>
      <c r="D2130" s="7">
        <v>45460.0</v>
      </c>
      <c r="E2130" s="7">
        <v>45786.0</v>
      </c>
      <c r="F2130" s="7">
        <v>45786.0</v>
      </c>
    </row>
    <row r="2131">
      <c r="A2131" s="4" t="s">
        <v>4263</v>
      </c>
      <c r="B2131" s="5" t="s">
        <v>4264</v>
      </c>
      <c r="C2131" s="6"/>
      <c r="D2131" s="7">
        <v>45460.0</v>
      </c>
      <c r="E2131" s="7">
        <v>45779.0</v>
      </c>
      <c r="F2131" s="7">
        <v>45779.0</v>
      </c>
    </row>
    <row r="2132">
      <c r="A2132" s="4" t="s">
        <v>4265</v>
      </c>
      <c r="B2132" s="5" t="s">
        <v>4266</v>
      </c>
      <c r="C2132" s="6"/>
      <c r="D2132" s="7">
        <v>45460.0</v>
      </c>
      <c r="E2132" s="7">
        <v>45779.0</v>
      </c>
      <c r="F2132" s="7">
        <v>45779.0</v>
      </c>
    </row>
    <row r="2133">
      <c r="A2133" s="4" t="s">
        <v>4267</v>
      </c>
      <c r="B2133" s="5" t="s">
        <v>4268</v>
      </c>
      <c r="C2133" s="6"/>
      <c r="D2133" s="7">
        <v>45460.0</v>
      </c>
      <c r="E2133" s="7">
        <v>45779.0</v>
      </c>
      <c r="F2133" s="7">
        <v>45779.0</v>
      </c>
    </row>
    <row r="2134">
      <c r="A2134" s="4" t="s">
        <v>4269</v>
      </c>
      <c r="B2134" s="5" t="s">
        <v>4270</v>
      </c>
      <c r="C2134" s="6"/>
      <c r="D2134" s="7">
        <v>45460.0</v>
      </c>
      <c r="E2134" s="7">
        <v>45779.0</v>
      </c>
      <c r="F2134" s="7">
        <v>45779.0</v>
      </c>
    </row>
    <row r="2135">
      <c r="A2135" s="4" t="s">
        <v>4271</v>
      </c>
      <c r="B2135" s="5" t="s">
        <v>4272</v>
      </c>
      <c r="C2135" s="6"/>
      <c r="D2135" s="7">
        <v>45461.0</v>
      </c>
      <c r="E2135" s="7">
        <v>45779.0</v>
      </c>
      <c r="F2135" s="7">
        <v>45779.0</v>
      </c>
    </row>
    <row r="2136">
      <c r="A2136" s="4" t="s">
        <v>4273</v>
      </c>
      <c r="B2136" s="5" t="s">
        <v>4274</v>
      </c>
      <c r="C2136" s="6"/>
      <c r="D2136" s="7">
        <v>45461.0</v>
      </c>
      <c r="E2136" s="7">
        <v>45786.0</v>
      </c>
      <c r="F2136" s="7">
        <v>45786.0</v>
      </c>
    </row>
    <row r="2137">
      <c r="A2137" s="4" t="s">
        <v>4275</v>
      </c>
      <c r="B2137" s="5" t="s">
        <v>4276</v>
      </c>
      <c r="C2137" s="6"/>
      <c r="D2137" s="7">
        <v>45461.0</v>
      </c>
      <c r="E2137" s="7">
        <v>45779.0</v>
      </c>
      <c r="F2137" s="7">
        <v>45779.0</v>
      </c>
    </row>
    <row r="2138">
      <c r="A2138" s="4" t="s">
        <v>4277</v>
      </c>
      <c r="B2138" s="5" t="s">
        <v>4278</v>
      </c>
      <c r="C2138" s="6"/>
      <c r="D2138" s="7">
        <v>45461.0</v>
      </c>
      <c r="E2138" s="7">
        <v>45779.0</v>
      </c>
      <c r="F2138" s="7">
        <v>45779.0</v>
      </c>
    </row>
    <row r="2139">
      <c r="A2139" s="4" t="s">
        <v>4279</v>
      </c>
      <c r="B2139" s="5" t="s">
        <v>4280</v>
      </c>
      <c r="C2139" s="6"/>
      <c r="D2139" s="7">
        <v>45461.0</v>
      </c>
      <c r="E2139" s="7">
        <v>45778.0</v>
      </c>
      <c r="F2139" s="7">
        <v>45778.0</v>
      </c>
    </row>
    <row r="2140">
      <c r="A2140" s="4" t="s">
        <v>4281</v>
      </c>
      <c r="B2140" s="5" t="s">
        <v>4282</v>
      </c>
      <c r="C2140" s="6"/>
      <c r="D2140" s="7">
        <v>45461.0</v>
      </c>
      <c r="E2140" s="7">
        <v>45779.0</v>
      </c>
      <c r="F2140" s="7">
        <v>45779.0</v>
      </c>
    </row>
    <row r="2141">
      <c r="A2141" s="4" t="s">
        <v>4283</v>
      </c>
      <c r="B2141" s="5" t="s">
        <v>4284</v>
      </c>
      <c r="C2141" s="6"/>
      <c r="D2141" s="7">
        <v>45461.0</v>
      </c>
      <c r="E2141" s="7">
        <v>45779.0</v>
      </c>
      <c r="F2141" s="7">
        <v>45779.0</v>
      </c>
    </row>
    <row r="2142">
      <c r="A2142" s="4" t="s">
        <v>4285</v>
      </c>
      <c r="B2142" s="5" t="s">
        <v>4286</v>
      </c>
      <c r="C2142" s="6"/>
      <c r="D2142" s="7">
        <v>45461.0</v>
      </c>
      <c r="E2142" s="7">
        <v>45779.0</v>
      </c>
      <c r="F2142" s="7">
        <v>45779.0</v>
      </c>
    </row>
    <row r="2143">
      <c r="A2143" s="4" t="s">
        <v>4287</v>
      </c>
      <c r="B2143" s="5" t="s">
        <v>4288</v>
      </c>
      <c r="C2143" s="6"/>
      <c r="D2143" s="7">
        <v>45461.0</v>
      </c>
      <c r="E2143" s="7">
        <v>45779.0</v>
      </c>
      <c r="F2143" s="7">
        <v>45779.0</v>
      </c>
    </row>
    <row r="2144">
      <c r="A2144" s="4" t="s">
        <v>4289</v>
      </c>
      <c r="B2144" s="5" t="s">
        <v>4290</v>
      </c>
      <c r="C2144" s="6"/>
      <c r="D2144" s="7">
        <v>45461.0</v>
      </c>
      <c r="E2144" s="7">
        <v>45776.0</v>
      </c>
      <c r="F2144" s="7">
        <v>45776.0</v>
      </c>
    </row>
    <row r="2145">
      <c r="A2145" s="4" t="s">
        <v>4291</v>
      </c>
      <c r="B2145" s="5" t="s">
        <v>4292</v>
      </c>
      <c r="C2145" s="6"/>
      <c r="D2145" s="7">
        <v>45461.0</v>
      </c>
      <c r="E2145" s="7">
        <v>45779.0</v>
      </c>
      <c r="F2145" s="7">
        <v>45779.0</v>
      </c>
    </row>
    <row r="2146">
      <c r="A2146" s="4" t="s">
        <v>4293</v>
      </c>
      <c r="B2146" s="5" t="s">
        <v>4294</v>
      </c>
      <c r="C2146" s="6"/>
      <c r="D2146" s="7">
        <v>45461.0</v>
      </c>
      <c r="E2146" s="7">
        <v>45779.0</v>
      </c>
      <c r="F2146" s="7">
        <v>45779.0</v>
      </c>
    </row>
    <row r="2147">
      <c r="A2147" s="4" t="s">
        <v>4295</v>
      </c>
      <c r="B2147" s="5" t="s">
        <v>4296</v>
      </c>
      <c r="C2147" s="6"/>
      <c r="D2147" s="7">
        <v>45461.0</v>
      </c>
      <c r="E2147" s="7">
        <v>45778.0</v>
      </c>
      <c r="F2147" s="7">
        <v>45778.0</v>
      </c>
    </row>
    <row r="2148">
      <c r="A2148" s="4" t="s">
        <v>4297</v>
      </c>
      <c r="B2148" s="5" t="s">
        <v>4298</v>
      </c>
      <c r="C2148" s="6"/>
      <c r="D2148" s="7">
        <v>45461.0</v>
      </c>
      <c r="E2148" s="7">
        <v>45786.0</v>
      </c>
      <c r="F2148" s="7">
        <v>45786.0</v>
      </c>
    </row>
    <row r="2149">
      <c r="A2149" s="4" t="s">
        <v>4299</v>
      </c>
      <c r="B2149" s="5" t="s">
        <v>4300</v>
      </c>
      <c r="C2149" s="6"/>
      <c r="D2149" s="7">
        <v>45461.0</v>
      </c>
      <c r="E2149" s="7">
        <v>45786.0</v>
      </c>
      <c r="F2149" s="7">
        <v>45786.0</v>
      </c>
    </row>
    <row r="2150">
      <c r="A2150" s="4" t="s">
        <v>4301</v>
      </c>
      <c r="B2150" s="5" t="s">
        <v>4302</v>
      </c>
      <c r="C2150" s="6"/>
      <c r="D2150" s="7">
        <v>45461.0</v>
      </c>
      <c r="E2150" s="7">
        <v>45786.0</v>
      </c>
      <c r="F2150" s="7">
        <v>45786.0</v>
      </c>
    </row>
    <row r="2151">
      <c r="A2151" s="4" t="s">
        <v>4303</v>
      </c>
      <c r="B2151" s="5" t="s">
        <v>4304</v>
      </c>
      <c r="C2151" s="6"/>
      <c r="D2151" s="7">
        <v>45461.0</v>
      </c>
      <c r="E2151" s="7">
        <v>45784.0</v>
      </c>
      <c r="F2151" s="7">
        <v>45784.0</v>
      </c>
    </row>
    <row r="2152">
      <c r="A2152" s="4" t="s">
        <v>4305</v>
      </c>
      <c r="B2152" s="5" t="s">
        <v>4306</v>
      </c>
      <c r="C2152" s="6"/>
      <c r="D2152" s="7">
        <v>45461.0</v>
      </c>
      <c r="E2152" s="7">
        <v>45779.0</v>
      </c>
      <c r="F2152" s="7">
        <v>45779.0</v>
      </c>
    </row>
    <row r="2153">
      <c r="A2153" s="4" t="s">
        <v>4307</v>
      </c>
      <c r="B2153" s="5" t="s">
        <v>4308</v>
      </c>
      <c r="C2153" s="6"/>
      <c r="D2153" s="7">
        <v>45461.0</v>
      </c>
      <c r="E2153" s="7">
        <v>45779.0</v>
      </c>
      <c r="F2153" s="7">
        <v>45779.0</v>
      </c>
    </row>
    <row r="2154">
      <c r="A2154" s="4" t="s">
        <v>4309</v>
      </c>
      <c r="B2154" s="5" t="s">
        <v>4310</v>
      </c>
      <c r="C2154" s="6"/>
      <c r="D2154" s="7">
        <v>45461.0</v>
      </c>
      <c r="E2154" s="7">
        <v>45778.0</v>
      </c>
      <c r="F2154" s="7">
        <v>45778.0</v>
      </c>
    </row>
    <row r="2155">
      <c r="A2155" s="4" t="s">
        <v>4311</v>
      </c>
      <c r="B2155" s="5" t="s">
        <v>4312</v>
      </c>
      <c r="C2155" s="6"/>
      <c r="D2155" s="7">
        <v>45461.0</v>
      </c>
      <c r="E2155" s="7">
        <v>45778.0</v>
      </c>
      <c r="F2155" s="7">
        <v>45778.0</v>
      </c>
    </row>
    <row r="2156">
      <c r="A2156" s="4" t="s">
        <v>4313</v>
      </c>
      <c r="B2156" s="5" t="s">
        <v>4314</v>
      </c>
      <c r="C2156" s="6"/>
      <c r="D2156" s="7">
        <v>45461.0</v>
      </c>
      <c r="E2156" s="7">
        <v>45786.0</v>
      </c>
      <c r="F2156" s="7">
        <v>45786.0</v>
      </c>
    </row>
    <row r="2157">
      <c r="A2157" s="4" t="s">
        <v>4315</v>
      </c>
      <c r="B2157" s="5" t="s">
        <v>4316</v>
      </c>
      <c r="C2157" s="6"/>
      <c r="D2157" s="7">
        <v>45461.0</v>
      </c>
      <c r="E2157" s="7">
        <v>45785.0</v>
      </c>
      <c r="F2157" s="7">
        <v>45785.0</v>
      </c>
    </row>
    <row r="2158">
      <c r="A2158" s="4" t="s">
        <v>4317</v>
      </c>
      <c r="B2158" s="5" t="s">
        <v>4318</v>
      </c>
      <c r="C2158" s="6"/>
      <c r="D2158" s="7">
        <v>45461.0</v>
      </c>
      <c r="E2158" s="7">
        <v>45785.0</v>
      </c>
      <c r="F2158" s="7">
        <v>45785.0</v>
      </c>
    </row>
    <row r="2159">
      <c r="A2159" s="4" t="s">
        <v>4319</v>
      </c>
      <c r="B2159" s="5" t="s">
        <v>4320</v>
      </c>
      <c r="C2159" s="6"/>
      <c r="D2159" s="7">
        <v>45461.0</v>
      </c>
      <c r="E2159" s="7">
        <v>45785.0</v>
      </c>
      <c r="F2159" s="7">
        <v>45785.0</v>
      </c>
    </row>
    <row r="2160">
      <c r="A2160" s="4" t="s">
        <v>4321</v>
      </c>
      <c r="B2160" s="5" t="s">
        <v>4322</v>
      </c>
      <c r="C2160" s="6"/>
      <c r="D2160" s="7">
        <v>45461.0</v>
      </c>
      <c r="E2160" s="7">
        <v>45785.0</v>
      </c>
      <c r="F2160" s="7">
        <v>45785.0</v>
      </c>
    </row>
    <row r="2161">
      <c r="A2161" s="4" t="s">
        <v>4323</v>
      </c>
      <c r="B2161" s="5" t="s">
        <v>4324</v>
      </c>
      <c r="C2161" s="6"/>
      <c r="D2161" s="7">
        <v>45461.0</v>
      </c>
      <c r="E2161" s="7">
        <v>45778.0</v>
      </c>
      <c r="F2161" s="7">
        <v>45778.0</v>
      </c>
    </row>
    <row r="2162">
      <c r="A2162" s="4" t="s">
        <v>4325</v>
      </c>
      <c r="B2162" s="5" t="s">
        <v>4326</v>
      </c>
      <c r="C2162" s="6"/>
      <c r="D2162" s="7">
        <v>45461.0</v>
      </c>
      <c r="E2162" s="7">
        <v>45778.0</v>
      </c>
      <c r="F2162" s="7">
        <v>45778.0</v>
      </c>
    </row>
    <row r="2163">
      <c r="A2163" s="4" t="s">
        <v>4327</v>
      </c>
      <c r="B2163" s="5" t="s">
        <v>4328</v>
      </c>
      <c r="C2163" s="6"/>
      <c r="D2163" s="7">
        <v>45461.0</v>
      </c>
      <c r="E2163" s="7">
        <v>45779.0</v>
      </c>
      <c r="F2163" s="7">
        <v>45779.0</v>
      </c>
    </row>
    <row r="2164">
      <c r="A2164" s="4" t="s">
        <v>4329</v>
      </c>
      <c r="B2164" s="5" t="s">
        <v>4330</v>
      </c>
      <c r="C2164" s="6"/>
      <c r="D2164" s="7">
        <v>45461.0</v>
      </c>
      <c r="E2164" s="7">
        <v>45785.0</v>
      </c>
      <c r="F2164" s="7">
        <v>45785.0</v>
      </c>
    </row>
    <row r="2165">
      <c r="A2165" s="4" t="s">
        <v>4331</v>
      </c>
      <c r="B2165" s="5" t="s">
        <v>4332</v>
      </c>
      <c r="C2165" s="6"/>
      <c r="D2165" s="7">
        <v>45461.0</v>
      </c>
      <c r="E2165" s="7">
        <v>45785.0</v>
      </c>
      <c r="F2165" s="7">
        <v>45785.0</v>
      </c>
    </row>
    <row r="2166">
      <c r="A2166" s="4" t="s">
        <v>4333</v>
      </c>
      <c r="B2166" s="5" t="s">
        <v>4334</v>
      </c>
      <c r="C2166" s="6"/>
      <c r="D2166" s="7">
        <v>45461.0</v>
      </c>
      <c r="E2166" s="7">
        <v>45778.0</v>
      </c>
      <c r="F2166" s="7">
        <v>45778.0</v>
      </c>
    </row>
    <row r="2167">
      <c r="A2167" s="4" t="s">
        <v>4335</v>
      </c>
      <c r="B2167" s="5" t="s">
        <v>4336</v>
      </c>
      <c r="C2167" s="6"/>
      <c r="D2167" s="7">
        <v>45461.0</v>
      </c>
      <c r="E2167" s="7">
        <v>45785.0</v>
      </c>
      <c r="F2167" s="7">
        <v>45785.0</v>
      </c>
    </row>
    <row r="2168">
      <c r="A2168" s="4" t="s">
        <v>4337</v>
      </c>
      <c r="B2168" s="5" t="s">
        <v>4338</v>
      </c>
      <c r="C2168" s="6"/>
      <c r="D2168" s="7">
        <v>45461.0</v>
      </c>
      <c r="E2168" s="7">
        <v>45782.0</v>
      </c>
      <c r="F2168" s="7">
        <v>45782.0</v>
      </c>
    </row>
    <row r="2169">
      <c r="A2169" s="4" t="s">
        <v>4339</v>
      </c>
      <c r="B2169" s="5" t="s">
        <v>4340</v>
      </c>
      <c r="C2169" s="6"/>
      <c r="D2169" s="7">
        <v>45461.0</v>
      </c>
      <c r="E2169" s="7">
        <v>45784.0</v>
      </c>
      <c r="F2169" s="7">
        <v>45784.0</v>
      </c>
    </row>
    <row r="2170">
      <c r="A2170" s="4" t="s">
        <v>4341</v>
      </c>
      <c r="B2170" s="5" t="s">
        <v>4342</v>
      </c>
      <c r="C2170" s="6"/>
      <c r="D2170" s="7">
        <v>45461.0</v>
      </c>
      <c r="E2170" s="7">
        <v>45785.0</v>
      </c>
      <c r="F2170" s="7">
        <v>45785.0</v>
      </c>
    </row>
    <row r="2171">
      <c r="A2171" s="4" t="s">
        <v>4343</v>
      </c>
      <c r="B2171" s="5" t="s">
        <v>4344</v>
      </c>
      <c r="C2171" s="6"/>
      <c r="D2171" s="7">
        <v>45461.0</v>
      </c>
      <c r="E2171" s="7">
        <v>45778.0</v>
      </c>
      <c r="F2171" s="7">
        <v>45778.0</v>
      </c>
    </row>
    <row r="2172">
      <c r="A2172" s="4" t="s">
        <v>4345</v>
      </c>
      <c r="B2172" s="5" t="s">
        <v>4346</v>
      </c>
      <c r="C2172" s="6"/>
      <c r="D2172" s="7">
        <v>45461.0</v>
      </c>
      <c r="E2172" s="7">
        <v>45778.0</v>
      </c>
      <c r="F2172" s="7">
        <v>45778.0</v>
      </c>
    </row>
    <row r="2173">
      <c r="A2173" s="4" t="s">
        <v>4347</v>
      </c>
      <c r="B2173" s="5" t="s">
        <v>4348</v>
      </c>
      <c r="C2173" s="6"/>
      <c r="D2173" s="7">
        <v>45461.0</v>
      </c>
      <c r="E2173" s="7">
        <v>45778.0</v>
      </c>
      <c r="F2173" s="7">
        <v>45778.0</v>
      </c>
    </row>
    <row r="2174">
      <c r="A2174" s="4" t="s">
        <v>4349</v>
      </c>
      <c r="B2174" s="5" t="s">
        <v>4350</v>
      </c>
      <c r="C2174" s="6"/>
      <c r="D2174" s="7">
        <v>45461.0</v>
      </c>
      <c r="E2174" s="7">
        <v>45778.0</v>
      </c>
      <c r="F2174" s="7">
        <v>45778.0</v>
      </c>
    </row>
    <row r="2175">
      <c r="A2175" s="4" t="s">
        <v>4351</v>
      </c>
      <c r="B2175" s="5" t="s">
        <v>4352</v>
      </c>
      <c r="C2175" s="6"/>
      <c r="D2175" s="7">
        <v>45461.0</v>
      </c>
      <c r="E2175" s="7">
        <v>45777.0</v>
      </c>
      <c r="F2175" s="7">
        <v>45777.0</v>
      </c>
    </row>
    <row r="2176">
      <c r="A2176" s="4" t="s">
        <v>4353</v>
      </c>
      <c r="B2176" s="5" t="s">
        <v>4354</v>
      </c>
      <c r="C2176" s="6"/>
      <c r="D2176" s="7">
        <v>45461.0</v>
      </c>
      <c r="E2176" s="7">
        <v>45799.0</v>
      </c>
      <c r="F2176" s="7">
        <v>45799.0</v>
      </c>
    </row>
    <row r="2177">
      <c r="A2177" s="4" t="s">
        <v>4355</v>
      </c>
      <c r="B2177" s="5" t="s">
        <v>4356</v>
      </c>
      <c r="C2177" s="6"/>
      <c r="D2177" s="7">
        <v>45461.0</v>
      </c>
      <c r="E2177" s="7">
        <v>45790.0</v>
      </c>
      <c r="F2177" s="7">
        <v>45790.0</v>
      </c>
    </row>
    <row r="2178">
      <c r="A2178" s="4" t="s">
        <v>4357</v>
      </c>
      <c r="B2178" s="5" t="s">
        <v>4358</v>
      </c>
      <c r="C2178" s="6"/>
      <c r="D2178" s="7">
        <v>45461.0</v>
      </c>
      <c r="E2178" s="7">
        <v>45778.0</v>
      </c>
      <c r="F2178" s="7">
        <v>45778.0</v>
      </c>
    </row>
    <row r="2179">
      <c r="A2179" s="4" t="s">
        <v>4359</v>
      </c>
      <c r="B2179" s="5" t="s">
        <v>4360</v>
      </c>
      <c r="C2179" s="6"/>
      <c r="D2179" s="7">
        <v>45461.0</v>
      </c>
      <c r="E2179" s="7">
        <v>45785.0</v>
      </c>
      <c r="F2179" s="7">
        <v>45785.0</v>
      </c>
    </row>
    <row r="2180">
      <c r="A2180" s="4" t="s">
        <v>4361</v>
      </c>
      <c r="B2180" s="5" t="s">
        <v>4362</v>
      </c>
      <c r="C2180" s="6"/>
      <c r="D2180" s="7">
        <v>45462.0</v>
      </c>
      <c r="E2180" s="7">
        <v>45778.0</v>
      </c>
      <c r="F2180" s="7">
        <v>45778.0</v>
      </c>
    </row>
    <row r="2181">
      <c r="A2181" s="4" t="s">
        <v>4363</v>
      </c>
      <c r="B2181" s="5" t="s">
        <v>4364</v>
      </c>
      <c r="C2181" s="6"/>
      <c r="D2181" s="7">
        <v>45462.0</v>
      </c>
      <c r="E2181" s="7">
        <v>45779.0</v>
      </c>
      <c r="F2181" s="7">
        <v>45779.0</v>
      </c>
    </row>
    <row r="2182">
      <c r="A2182" s="4" t="s">
        <v>4365</v>
      </c>
      <c r="B2182" s="5" t="s">
        <v>4366</v>
      </c>
      <c r="C2182" s="6"/>
      <c r="D2182" s="7">
        <v>45462.0</v>
      </c>
      <c r="E2182" s="7">
        <v>45778.0</v>
      </c>
      <c r="F2182" s="7">
        <v>45778.0</v>
      </c>
    </row>
    <row r="2183">
      <c r="A2183" s="4" t="s">
        <v>4367</v>
      </c>
      <c r="B2183" s="5" t="s">
        <v>4368</v>
      </c>
      <c r="C2183" s="6"/>
      <c r="D2183" s="7">
        <v>45463.0</v>
      </c>
      <c r="E2183" s="7">
        <v>45778.0</v>
      </c>
      <c r="F2183" s="7">
        <v>45778.0</v>
      </c>
    </row>
    <row r="2184">
      <c r="A2184" s="4" t="s">
        <v>4369</v>
      </c>
      <c r="B2184" s="5" t="s">
        <v>4370</v>
      </c>
      <c r="C2184" s="6"/>
      <c r="D2184" s="7">
        <v>45463.0</v>
      </c>
      <c r="E2184" s="7">
        <v>45778.0</v>
      </c>
      <c r="F2184" s="7">
        <v>45778.0</v>
      </c>
    </row>
    <row r="2185">
      <c r="A2185" s="4" t="s">
        <v>4371</v>
      </c>
      <c r="B2185" s="5" t="s">
        <v>4372</v>
      </c>
      <c r="C2185" s="6"/>
      <c r="D2185" s="7">
        <v>45463.0</v>
      </c>
      <c r="E2185" s="7">
        <v>45785.0</v>
      </c>
      <c r="F2185" s="7">
        <v>45785.0</v>
      </c>
    </row>
    <row r="2186">
      <c r="A2186" s="4" t="s">
        <v>4373</v>
      </c>
      <c r="B2186" s="5" t="s">
        <v>4374</v>
      </c>
      <c r="C2186" s="6"/>
      <c r="D2186" s="7">
        <v>45463.0</v>
      </c>
      <c r="E2186" s="7">
        <v>45777.0</v>
      </c>
      <c r="F2186" s="7">
        <v>45777.0</v>
      </c>
    </row>
    <row r="2187">
      <c r="A2187" s="4" t="s">
        <v>4375</v>
      </c>
      <c r="B2187" s="5" t="s">
        <v>4376</v>
      </c>
      <c r="C2187" s="6"/>
      <c r="D2187" s="7">
        <v>45463.0</v>
      </c>
      <c r="E2187" s="7">
        <v>45778.0</v>
      </c>
      <c r="F2187" s="7">
        <v>45778.0</v>
      </c>
    </row>
    <row r="2188">
      <c r="A2188" s="4" t="s">
        <v>4377</v>
      </c>
      <c r="B2188" s="5" t="s">
        <v>4378</v>
      </c>
      <c r="C2188" s="6"/>
      <c r="D2188" s="7">
        <v>45463.0</v>
      </c>
      <c r="E2188" s="7">
        <v>45778.0</v>
      </c>
      <c r="F2188" s="7">
        <v>45778.0</v>
      </c>
    </row>
    <row r="2189">
      <c r="A2189" s="4" t="s">
        <v>4379</v>
      </c>
      <c r="B2189" s="5" t="s">
        <v>4380</v>
      </c>
      <c r="C2189" s="6"/>
      <c r="D2189" s="7">
        <v>45463.0</v>
      </c>
      <c r="E2189" s="7">
        <v>45777.0</v>
      </c>
      <c r="F2189" s="7">
        <v>45777.0</v>
      </c>
    </row>
    <row r="2190">
      <c r="A2190" s="4" t="s">
        <v>4381</v>
      </c>
      <c r="B2190" s="5" t="s">
        <v>4382</v>
      </c>
      <c r="C2190" s="6"/>
      <c r="D2190" s="7">
        <v>45463.0</v>
      </c>
      <c r="E2190" s="7">
        <v>45785.0</v>
      </c>
      <c r="F2190" s="7">
        <v>45785.0</v>
      </c>
    </row>
    <row r="2191">
      <c r="A2191" s="4" t="s">
        <v>4383</v>
      </c>
      <c r="B2191" s="5" t="s">
        <v>4384</v>
      </c>
      <c r="C2191" s="6"/>
      <c r="D2191" s="7">
        <v>45463.0</v>
      </c>
      <c r="E2191" s="7">
        <v>45778.0</v>
      </c>
      <c r="F2191" s="7">
        <v>45778.0</v>
      </c>
    </row>
    <row r="2192">
      <c r="A2192" s="4" t="s">
        <v>4385</v>
      </c>
      <c r="B2192" s="5" t="s">
        <v>4386</v>
      </c>
      <c r="C2192" s="6"/>
      <c r="D2192" s="7">
        <v>45463.0</v>
      </c>
      <c r="E2192" s="7">
        <v>45778.0</v>
      </c>
      <c r="F2192" s="7">
        <v>45778.0</v>
      </c>
    </row>
    <row r="2193">
      <c r="A2193" s="4" t="s">
        <v>4387</v>
      </c>
      <c r="B2193" s="5" t="s">
        <v>4388</v>
      </c>
      <c r="C2193" s="6"/>
      <c r="D2193" s="7">
        <v>45463.0</v>
      </c>
      <c r="E2193" s="7">
        <v>45784.0</v>
      </c>
      <c r="F2193" s="7">
        <v>45784.0</v>
      </c>
    </row>
    <row r="2194">
      <c r="A2194" s="4" t="s">
        <v>4389</v>
      </c>
      <c r="B2194" s="5" t="s">
        <v>4390</v>
      </c>
      <c r="C2194" s="6"/>
      <c r="D2194" s="7">
        <v>45463.0</v>
      </c>
      <c r="E2194" s="7">
        <v>45778.0</v>
      </c>
      <c r="F2194" s="7">
        <v>45778.0</v>
      </c>
    </row>
    <row r="2195">
      <c r="A2195" s="4" t="s">
        <v>4391</v>
      </c>
      <c r="B2195" s="5" t="s">
        <v>4392</v>
      </c>
      <c r="C2195" s="6"/>
      <c r="D2195" s="7">
        <v>45463.0</v>
      </c>
      <c r="E2195" s="7">
        <v>45785.0</v>
      </c>
      <c r="F2195" s="7">
        <v>45785.0</v>
      </c>
    </row>
    <row r="2196">
      <c r="A2196" s="4" t="s">
        <v>4393</v>
      </c>
      <c r="B2196" s="5" t="s">
        <v>4394</v>
      </c>
      <c r="C2196" s="6"/>
      <c r="D2196" s="7">
        <v>45463.0</v>
      </c>
      <c r="E2196" s="7">
        <v>45779.0</v>
      </c>
      <c r="F2196" s="7">
        <v>45779.0</v>
      </c>
    </row>
    <row r="2197">
      <c r="A2197" s="4" t="s">
        <v>4395</v>
      </c>
      <c r="B2197" s="5" t="s">
        <v>4396</v>
      </c>
      <c r="C2197" s="6"/>
      <c r="D2197" s="7">
        <v>45463.0</v>
      </c>
      <c r="E2197" s="7">
        <v>45771.0</v>
      </c>
      <c r="F2197" s="7">
        <v>45771.0</v>
      </c>
    </row>
    <row r="2198">
      <c r="A2198" s="4" t="s">
        <v>4397</v>
      </c>
      <c r="B2198" s="5" t="s">
        <v>4398</v>
      </c>
      <c r="C2198" s="6"/>
      <c r="D2198" s="7">
        <v>45463.0</v>
      </c>
      <c r="E2198" s="7">
        <v>45776.0</v>
      </c>
      <c r="F2198" s="7">
        <v>45776.0</v>
      </c>
    </row>
    <row r="2199">
      <c r="A2199" s="4" t="s">
        <v>4399</v>
      </c>
      <c r="B2199" s="5" t="s">
        <v>4400</v>
      </c>
      <c r="C2199" s="6"/>
      <c r="D2199" s="7">
        <v>45463.0</v>
      </c>
      <c r="E2199" s="7">
        <v>45783.0</v>
      </c>
      <c r="F2199" s="7">
        <v>45783.0</v>
      </c>
    </row>
    <row r="2200">
      <c r="A2200" s="4" t="s">
        <v>4401</v>
      </c>
      <c r="B2200" s="5" t="s">
        <v>4402</v>
      </c>
      <c r="C2200" s="6"/>
      <c r="D2200" s="7">
        <v>45463.0</v>
      </c>
      <c r="E2200" s="7">
        <v>45778.0</v>
      </c>
      <c r="F2200" s="7">
        <v>45778.0</v>
      </c>
    </row>
    <row r="2201">
      <c r="A2201" s="4" t="s">
        <v>4403</v>
      </c>
      <c r="B2201" s="5" t="s">
        <v>4404</v>
      </c>
      <c r="C2201" s="6"/>
      <c r="D2201" s="7">
        <v>45463.0</v>
      </c>
      <c r="E2201" s="7">
        <v>45776.0</v>
      </c>
      <c r="F2201" s="7">
        <v>45776.0</v>
      </c>
    </row>
    <row r="2202">
      <c r="A2202" s="4" t="s">
        <v>4405</v>
      </c>
      <c r="B2202" s="5" t="s">
        <v>4406</v>
      </c>
      <c r="C2202" s="6"/>
      <c r="D2202" s="7">
        <v>45463.0</v>
      </c>
      <c r="E2202" s="7">
        <v>45778.0</v>
      </c>
      <c r="F2202" s="7">
        <v>45778.0</v>
      </c>
    </row>
    <row r="2203">
      <c r="A2203" s="4" t="s">
        <v>4407</v>
      </c>
      <c r="B2203" s="5" t="s">
        <v>4408</v>
      </c>
      <c r="C2203" s="6"/>
      <c r="D2203" s="7">
        <v>45463.0</v>
      </c>
      <c r="E2203" s="7">
        <v>45778.0</v>
      </c>
      <c r="F2203" s="7">
        <v>45778.0</v>
      </c>
    </row>
    <row r="2204">
      <c r="A2204" s="4" t="s">
        <v>4409</v>
      </c>
      <c r="B2204" s="5" t="s">
        <v>4410</v>
      </c>
      <c r="C2204" s="6"/>
      <c r="D2204" s="7">
        <v>45463.0</v>
      </c>
      <c r="E2204" s="7">
        <v>45811.0</v>
      </c>
      <c r="F2204" s="7">
        <v>45811.0</v>
      </c>
    </row>
    <row r="2205">
      <c r="A2205" s="4" t="s">
        <v>4411</v>
      </c>
      <c r="B2205" s="5" t="s">
        <v>4412</v>
      </c>
      <c r="C2205" s="6"/>
      <c r="D2205" s="7">
        <v>45463.0</v>
      </c>
      <c r="E2205" s="7">
        <v>45778.0</v>
      </c>
      <c r="F2205" s="7">
        <v>45778.0</v>
      </c>
    </row>
    <row r="2206">
      <c r="A2206" s="4" t="s">
        <v>4413</v>
      </c>
      <c r="B2206" s="5" t="s">
        <v>4414</v>
      </c>
      <c r="C2206" s="6"/>
      <c r="D2206" s="7">
        <v>45463.0</v>
      </c>
      <c r="E2206" s="7">
        <v>45778.0</v>
      </c>
      <c r="F2206" s="7">
        <v>45778.0</v>
      </c>
    </row>
    <row r="2207">
      <c r="A2207" s="4" t="s">
        <v>4415</v>
      </c>
      <c r="B2207" s="5" t="s">
        <v>4416</v>
      </c>
      <c r="C2207" s="6"/>
      <c r="D2207" s="7">
        <v>45463.0</v>
      </c>
      <c r="E2207" s="7">
        <v>45778.0</v>
      </c>
      <c r="F2207" s="7">
        <v>45778.0</v>
      </c>
    </row>
    <row r="2208">
      <c r="A2208" s="4" t="s">
        <v>4417</v>
      </c>
      <c r="B2208" s="5" t="s">
        <v>4418</v>
      </c>
      <c r="C2208" s="6"/>
      <c r="D2208" s="7">
        <v>45463.0</v>
      </c>
      <c r="E2208" s="7">
        <v>45778.0</v>
      </c>
      <c r="F2208" s="7">
        <v>45778.0</v>
      </c>
    </row>
    <row r="2209">
      <c r="A2209" s="4" t="s">
        <v>4419</v>
      </c>
      <c r="B2209" s="5" t="s">
        <v>4420</v>
      </c>
      <c r="C2209" s="6"/>
      <c r="D2209" s="7">
        <v>45463.0</v>
      </c>
      <c r="E2209" s="7">
        <v>45785.0</v>
      </c>
      <c r="F2209" s="7">
        <v>45785.0</v>
      </c>
    </row>
    <row r="2210">
      <c r="A2210" s="4" t="s">
        <v>4421</v>
      </c>
      <c r="B2210" s="5" t="s">
        <v>4422</v>
      </c>
      <c r="C2210" s="6"/>
      <c r="D2210" s="7">
        <v>45463.0</v>
      </c>
      <c r="E2210" s="7">
        <v>45778.0</v>
      </c>
      <c r="F2210" s="7">
        <v>45778.0</v>
      </c>
    </row>
    <row r="2211">
      <c r="A2211" s="4" t="s">
        <v>4423</v>
      </c>
      <c r="B2211" s="5" t="s">
        <v>4424</v>
      </c>
      <c r="C2211" s="6"/>
      <c r="D2211" s="7">
        <v>45463.0</v>
      </c>
      <c r="E2211" s="7">
        <v>45778.0</v>
      </c>
      <c r="F2211" s="7">
        <v>45778.0</v>
      </c>
    </row>
    <row r="2212">
      <c r="A2212" s="4" t="s">
        <v>4425</v>
      </c>
      <c r="B2212" s="5" t="s">
        <v>4426</v>
      </c>
      <c r="C2212" s="6"/>
      <c r="D2212" s="7">
        <v>45463.0</v>
      </c>
      <c r="E2212" s="7">
        <v>45785.0</v>
      </c>
      <c r="F2212" s="7">
        <v>45785.0</v>
      </c>
    </row>
    <row r="2213">
      <c r="A2213" s="4" t="s">
        <v>4427</v>
      </c>
      <c r="B2213" s="5" t="s">
        <v>4428</v>
      </c>
      <c r="C2213" s="6"/>
      <c r="D2213" s="7">
        <v>45463.0</v>
      </c>
      <c r="E2213" s="7">
        <v>45778.0</v>
      </c>
      <c r="F2213" s="7">
        <v>45778.0</v>
      </c>
    </row>
    <row r="2214">
      <c r="A2214" s="4" t="s">
        <v>4429</v>
      </c>
      <c r="B2214" s="5" t="s">
        <v>4430</v>
      </c>
      <c r="C2214" s="6"/>
      <c r="D2214" s="7">
        <v>45463.0</v>
      </c>
      <c r="E2214" s="7">
        <v>45783.0</v>
      </c>
      <c r="F2214" s="7">
        <v>45783.0</v>
      </c>
    </row>
    <row r="2215">
      <c r="A2215" s="4" t="s">
        <v>4431</v>
      </c>
      <c r="B2215" s="5" t="s">
        <v>4432</v>
      </c>
      <c r="C2215" s="6"/>
      <c r="D2215" s="7">
        <v>45463.0</v>
      </c>
      <c r="E2215" s="7">
        <v>45778.0</v>
      </c>
      <c r="F2215" s="7">
        <v>45778.0</v>
      </c>
    </row>
    <row r="2216">
      <c r="A2216" s="4" t="s">
        <v>4433</v>
      </c>
      <c r="B2216" s="5" t="s">
        <v>4434</v>
      </c>
      <c r="C2216" s="6"/>
      <c r="D2216" s="7">
        <v>45463.0</v>
      </c>
      <c r="E2216" s="7">
        <v>45778.0</v>
      </c>
      <c r="F2216" s="7">
        <v>45778.0</v>
      </c>
    </row>
    <row r="2217">
      <c r="A2217" s="4" t="s">
        <v>4435</v>
      </c>
      <c r="B2217" s="5" t="s">
        <v>4436</v>
      </c>
      <c r="C2217" s="6"/>
      <c r="D2217" s="7">
        <v>45463.0</v>
      </c>
      <c r="E2217" s="7">
        <v>45783.0</v>
      </c>
      <c r="F2217" s="7">
        <v>45783.0</v>
      </c>
    </row>
    <row r="2218">
      <c r="A2218" s="4" t="s">
        <v>4437</v>
      </c>
      <c r="B2218" s="5" t="s">
        <v>4438</v>
      </c>
      <c r="C2218" s="6"/>
      <c r="D2218" s="7">
        <v>45463.0</v>
      </c>
      <c r="E2218" s="7">
        <v>45784.0</v>
      </c>
      <c r="F2218" s="7">
        <v>45784.0</v>
      </c>
    </row>
    <row r="2219">
      <c r="A2219" s="4" t="s">
        <v>4439</v>
      </c>
      <c r="B2219" s="5" t="s">
        <v>4440</v>
      </c>
      <c r="C2219" s="6"/>
      <c r="D2219" s="7">
        <v>45463.0</v>
      </c>
      <c r="E2219" s="7">
        <v>45778.0</v>
      </c>
      <c r="F2219" s="7">
        <v>45778.0</v>
      </c>
    </row>
    <row r="2220">
      <c r="A2220" s="4" t="s">
        <v>4441</v>
      </c>
      <c r="B2220" s="5" t="s">
        <v>4442</v>
      </c>
      <c r="C2220" s="6"/>
      <c r="D2220" s="7">
        <v>45463.0</v>
      </c>
      <c r="E2220" s="7">
        <v>45777.0</v>
      </c>
      <c r="F2220" s="7">
        <v>45777.0</v>
      </c>
    </row>
    <row r="2221">
      <c r="A2221" s="4" t="s">
        <v>4443</v>
      </c>
      <c r="B2221" s="5" t="s">
        <v>4444</v>
      </c>
      <c r="C2221" s="6"/>
      <c r="D2221" s="7">
        <v>45463.0</v>
      </c>
      <c r="E2221" s="7">
        <v>45784.0</v>
      </c>
      <c r="F2221" s="7">
        <v>45784.0</v>
      </c>
    </row>
    <row r="2222">
      <c r="A2222" s="4" t="s">
        <v>4445</v>
      </c>
      <c r="B2222" s="5" t="s">
        <v>4446</v>
      </c>
      <c r="C2222" s="6"/>
      <c r="D2222" s="7">
        <v>45463.0</v>
      </c>
      <c r="E2222" s="7">
        <v>45784.0</v>
      </c>
      <c r="F2222" s="7">
        <v>45784.0</v>
      </c>
    </row>
    <row r="2223">
      <c r="A2223" s="4" t="s">
        <v>4447</v>
      </c>
      <c r="B2223" s="5" t="s">
        <v>4448</v>
      </c>
      <c r="C2223" s="6"/>
      <c r="D2223" s="7">
        <v>45463.0</v>
      </c>
      <c r="E2223" s="7">
        <v>45784.0</v>
      </c>
      <c r="F2223" s="7">
        <v>45784.0</v>
      </c>
    </row>
    <row r="2224">
      <c r="A2224" s="4" t="s">
        <v>4449</v>
      </c>
      <c r="B2224" s="5" t="s">
        <v>4450</v>
      </c>
      <c r="C2224" s="6"/>
      <c r="D2224" s="7">
        <v>45463.0</v>
      </c>
      <c r="E2224" s="7">
        <v>45777.0</v>
      </c>
      <c r="F2224" s="7">
        <v>45777.0</v>
      </c>
    </row>
    <row r="2225">
      <c r="A2225" s="4" t="s">
        <v>4451</v>
      </c>
      <c r="B2225" s="5" t="s">
        <v>4452</v>
      </c>
      <c r="C2225" s="6"/>
      <c r="D2225" s="7">
        <v>45463.0</v>
      </c>
      <c r="E2225" s="7">
        <v>45776.0</v>
      </c>
      <c r="F2225" s="7">
        <v>45776.0</v>
      </c>
    </row>
    <row r="2226">
      <c r="A2226" s="4" t="s">
        <v>4453</v>
      </c>
      <c r="B2226" s="5" t="s">
        <v>4454</v>
      </c>
      <c r="C2226" s="6"/>
      <c r="D2226" s="7">
        <v>45463.0</v>
      </c>
      <c r="E2226" s="7">
        <v>45778.0</v>
      </c>
      <c r="F2226" s="7">
        <v>45778.0</v>
      </c>
    </row>
    <row r="2227">
      <c r="A2227" s="4" t="s">
        <v>4455</v>
      </c>
      <c r="B2227" s="5" t="s">
        <v>4456</v>
      </c>
      <c r="C2227" s="6"/>
      <c r="D2227" s="7">
        <v>45463.0</v>
      </c>
      <c r="E2227" s="7">
        <v>45778.0</v>
      </c>
      <c r="F2227" s="7">
        <v>45778.0</v>
      </c>
    </row>
    <row r="2228">
      <c r="A2228" s="4" t="s">
        <v>4457</v>
      </c>
      <c r="B2228" s="5" t="s">
        <v>4458</v>
      </c>
      <c r="C2228" s="6"/>
      <c r="D2228" s="7">
        <v>45463.0</v>
      </c>
      <c r="E2228" s="7">
        <v>45777.0</v>
      </c>
      <c r="F2228" s="7">
        <v>45777.0</v>
      </c>
    </row>
    <row r="2229">
      <c r="A2229" s="4" t="s">
        <v>4459</v>
      </c>
      <c r="B2229" s="5" t="s">
        <v>4460</v>
      </c>
      <c r="C2229" s="6"/>
      <c r="D2229" s="7">
        <v>45463.0</v>
      </c>
      <c r="E2229" s="7">
        <v>45777.0</v>
      </c>
      <c r="F2229" s="7">
        <v>45777.0</v>
      </c>
    </row>
    <row r="2230">
      <c r="A2230" s="4" t="s">
        <v>4461</v>
      </c>
      <c r="B2230" s="5" t="s">
        <v>4462</v>
      </c>
      <c r="C2230" s="6"/>
      <c r="D2230" s="7">
        <v>45463.0</v>
      </c>
      <c r="E2230" s="7">
        <v>45777.0</v>
      </c>
      <c r="F2230" s="7">
        <v>45777.0</v>
      </c>
    </row>
    <row r="2231">
      <c r="A2231" s="4" t="s">
        <v>4463</v>
      </c>
      <c r="B2231" s="5" t="s">
        <v>4464</v>
      </c>
      <c r="C2231" s="6"/>
      <c r="D2231" s="7">
        <v>45463.0</v>
      </c>
      <c r="E2231" s="7">
        <v>45784.0</v>
      </c>
      <c r="F2231" s="7">
        <v>45784.0</v>
      </c>
    </row>
    <row r="2232">
      <c r="A2232" s="4" t="s">
        <v>4465</v>
      </c>
      <c r="B2232" s="5" t="s">
        <v>4466</v>
      </c>
      <c r="C2232" s="6"/>
      <c r="D2232" s="7">
        <v>45463.0</v>
      </c>
      <c r="E2232" s="7">
        <v>45777.0</v>
      </c>
      <c r="F2232" s="7">
        <v>45777.0</v>
      </c>
    </row>
    <row r="2233">
      <c r="A2233" s="4" t="s">
        <v>4467</v>
      </c>
      <c r="B2233" s="5" t="s">
        <v>4468</v>
      </c>
      <c r="C2233" s="6"/>
      <c r="D2233" s="7">
        <v>45464.0</v>
      </c>
      <c r="E2233" s="7">
        <v>45784.0</v>
      </c>
      <c r="F2233" s="7">
        <v>45784.0</v>
      </c>
    </row>
    <row r="2234">
      <c r="A2234" s="4" t="s">
        <v>4469</v>
      </c>
      <c r="B2234" s="5" t="s">
        <v>4470</v>
      </c>
      <c r="C2234" s="6"/>
      <c r="D2234" s="7">
        <v>45464.0</v>
      </c>
      <c r="E2234" s="7">
        <v>45784.0</v>
      </c>
      <c r="F2234" s="7">
        <v>45784.0</v>
      </c>
    </row>
    <row r="2235">
      <c r="A2235" s="4" t="s">
        <v>4471</v>
      </c>
      <c r="B2235" s="5" t="s">
        <v>4472</v>
      </c>
      <c r="C2235" s="6"/>
      <c r="D2235" s="7">
        <v>45464.0</v>
      </c>
      <c r="E2235" s="7">
        <v>45784.0</v>
      </c>
      <c r="F2235" s="7">
        <v>45784.0</v>
      </c>
    </row>
    <row r="2236">
      <c r="A2236" s="4" t="s">
        <v>4473</v>
      </c>
      <c r="B2236" s="5" t="s">
        <v>4474</v>
      </c>
      <c r="C2236" s="6"/>
      <c r="D2236" s="7">
        <v>45464.0</v>
      </c>
      <c r="E2236" s="7">
        <v>45777.0</v>
      </c>
      <c r="F2236" s="7">
        <v>45777.0</v>
      </c>
    </row>
    <row r="2237">
      <c r="A2237" s="4" t="s">
        <v>4475</v>
      </c>
      <c r="B2237" s="5" t="s">
        <v>4476</v>
      </c>
      <c r="C2237" s="6"/>
      <c r="D2237" s="7">
        <v>45464.0</v>
      </c>
      <c r="E2237" s="7">
        <v>45784.0</v>
      </c>
      <c r="F2237" s="7">
        <v>45784.0</v>
      </c>
    </row>
    <row r="2238">
      <c r="A2238" s="4" t="s">
        <v>4477</v>
      </c>
      <c r="B2238" s="5" t="s">
        <v>4478</v>
      </c>
      <c r="C2238" s="6"/>
      <c r="D2238" s="7">
        <v>45464.0</v>
      </c>
      <c r="E2238" s="7">
        <v>45777.0</v>
      </c>
      <c r="F2238" s="7">
        <v>45777.0</v>
      </c>
    </row>
    <row r="2239">
      <c r="A2239" s="4" t="s">
        <v>4479</v>
      </c>
      <c r="B2239" s="5" t="s">
        <v>4480</v>
      </c>
      <c r="C2239" s="6"/>
      <c r="D2239" s="7">
        <v>45464.0</v>
      </c>
      <c r="E2239" s="7">
        <v>45777.0</v>
      </c>
      <c r="F2239" s="7">
        <v>45777.0</v>
      </c>
    </row>
    <row r="2240">
      <c r="A2240" s="4" t="s">
        <v>4481</v>
      </c>
      <c r="B2240" s="5" t="s">
        <v>4482</v>
      </c>
      <c r="C2240" s="6"/>
      <c r="D2240" s="7">
        <v>45464.0</v>
      </c>
      <c r="E2240" s="7">
        <v>45783.0</v>
      </c>
      <c r="F2240" s="7">
        <v>45783.0</v>
      </c>
    </row>
    <row r="2241">
      <c r="A2241" s="4" t="s">
        <v>4483</v>
      </c>
      <c r="B2241" s="5" t="s">
        <v>4484</v>
      </c>
      <c r="C2241" s="6"/>
      <c r="D2241" s="7">
        <v>45464.0</v>
      </c>
      <c r="E2241" s="7">
        <v>45777.0</v>
      </c>
      <c r="F2241" s="7">
        <v>45777.0</v>
      </c>
    </row>
    <row r="2242">
      <c r="A2242" s="4" t="s">
        <v>4485</v>
      </c>
      <c r="B2242" s="5" t="s">
        <v>4486</v>
      </c>
      <c r="C2242" s="6"/>
      <c r="D2242" s="7">
        <v>45464.0</v>
      </c>
      <c r="E2242" s="7">
        <v>45784.0</v>
      </c>
      <c r="F2242" s="7">
        <v>45784.0</v>
      </c>
    </row>
    <row r="2243">
      <c r="A2243" s="4" t="s">
        <v>4487</v>
      </c>
      <c r="B2243" s="5" t="s">
        <v>4488</v>
      </c>
      <c r="C2243" s="6"/>
      <c r="D2243" s="7">
        <v>45464.0</v>
      </c>
      <c r="E2243" s="7">
        <v>45777.0</v>
      </c>
      <c r="F2243" s="7">
        <v>45777.0</v>
      </c>
    </row>
    <row r="2244">
      <c r="A2244" s="4" t="s">
        <v>4489</v>
      </c>
      <c r="B2244" s="5" t="s">
        <v>4490</v>
      </c>
      <c r="C2244" s="6"/>
      <c r="D2244" s="7">
        <v>45464.0</v>
      </c>
      <c r="E2244" s="7">
        <v>45784.0</v>
      </c>
      <c r="F2244" s="7">
        <v>45784.0</v>
      </c>
    </row>
    <row r="2245">
      <c r="A2245" s="4" t="s">
        <v>4491</v>
      </c>
      <c r="B2245" s="5" t="s">
        <v>4492</v>
      </c>
      <c r="C2245" s="6"/>
      <c r="D2245" s="7">
        <v>45464.0</v>
      </c>
      <c r="E2245" s="7">
        <v>45777.0</v>
      </c>
      <c r="F2245" s="7">
        <v>45777.0</v>
      </c>
    </row>
    <row r="2246">
      <c r="A2246" s="4" t="s">
        <v>4493</v>
      </c>
      <c r="B2246" s="5" t="s">
        <v>4494</v>
      </c>
      <c r="C2246" s="6"/>
      <c r="D2246" s="7">
        <v>45464.0</v>
      </c>
      <c r="E2246" s="7">
        <v>45784.0</v>
      </c>
      <c r="F2246" s="7">
        <v>45784.0</v>
      </c>
    </row>
    <row r="2247">
      <c r="A2247" s="4" t="s">
        <v>4495</v>
      </c>
      <c r="B2247" s="5" t="s">
        <v>4496</v>
      </c>
      <c r="C2247" s="6"/>
      <c r="D2247" s="7">
        <v>45464.0</v>
      </c>
      <c r="E2247" s="7">
        <v>45777.0</v>
      </c>
      <c r="F2247" s="7">
        <v>45777.0</v>
      </c>
    </row>
    <row r="2248">
      <c r="A2248" s="4" t="s">
        <v>4497</v>
      </c>
      <c r="B2248" s="5" t="s">
        <v>4498</v>
      </c>
      <c r="C2248" s="6"/>
      <c r="D2248" s="7">
        <v>45467.0</v>
      </c>
      <c r="E2248" s="7">
        <v>45784.0</v>
      </c>
      <c r="F2248" s="7">
        <v>45784.0</v>
      </c>
    </row>
    <row r="2249">
      <c r="A2249" s="4" t="s">
        <v>4499</v>
      </c>
      <c r="B2249" s="5" t="s">
        <v>4500</v>
      </c>
      <c r="C2249" s="6"/>
      <c r="D2249" s="7">
        <v>45467.0</v>
      </c>
      <c r="E2249" s="7">
        <v>45785.0</v>
      </c>
      <c r="F2249" s="7">
        <v>45785.0</v>
      </c>
    </row>
    <row r="2250">
      <c r="A2250" s="4" t="s">
        <v>4501</v>
      </c>
      <c r="B2250" s="5" t="s">
        <v>4502</v>
      </c>
      <c r="C2250" s="6"/>
      <c r="D2250" s="7">
        <v>45467.0</v>
      </c>
      <c r="E2250" s="7">
        <v>45784.0</v>
      </c>
      <c r="F2250" s="7">
        <v>45784.0</v>
      </c>
    </row>
    <row r="2251">
      <c r="A2251" s="4" t="s">
        <v>4503</v>
      </c>
      <c r="B2251" s="5" t="s">
        <v>4504</v>
      </c>
      <c r="C2251" s="6"/>
      <c r="D2251" s="7">
        <v>45468.0</v>
      </c>
      <c r="E2251" s="7">
        <v>45782.0</v>
      </c>
      <c r="F2251" s="7">
        <v>45782.0</v>
      </c>
    </row>
    <row r="2252">
      <c r="A2252" s="4" t="s">
        <v>4505</v>
      </c>
      <c r="B2252" s="5" t="s">
        <v>4506</v>
      </c>
      <c r="C2252" s="6"/>
      <c r="D2252" s="7">
        <v>45468.0</v>
      </c>
      <c r="E2252" s="7">
        <v>45776.0</v>
      </c>
      <c r="F2252" s="7">
        <v>45776.0</v>
      </c>
    </row>
    <row r="2253">
      <c r="A2253" s="4" t="s">
        <v>4507</v>
      </c>
      <c r="B2253" s="5" t="s">
        <v>4508</v>
      </c>
      <c r="C2253" s="6"/>
      <c r="D2253" s="7">
        <v>45468.0</v>
      </c>
      <c r="E2253" s="7">
        <v>45777.0</v>
      </c>
      <c r="F2253" s="7">
        <v>45777.0</v>
      </c>
    </row>
    <row r="2254">
      <c r="A2254" s="4" t="s">
        <v>4509</v>
      </c>
      <c r="B2254" s="5" t="s">
        <v>4510</v>
      </c>
      <c r="C2254" s="6"/>
      <c r="D2254" s="7">
        <v>45468.0</v>
      </c>
      <c r="E2254" s="7">
        <v>45777.0</v>
      </c>
      <c r="F2254" s="7">
        <v>45777.0</v>
      </c>
    </row>
    <row r="2255">
      <c r="A2255" s="4" t="s">
        <v>4511</v>
      </c>
      <c r="B2255" s="5" t="s">
        <v>4512</v>
      </c>
      <c r="C2255" s="6"/>
      <c r="D2255" s="7">
        <v>45468.0</v>
      </c>
      <c r="E2255" s="7">
        <v>45777.0</v>
      </c>
      <c r="F2255" s="7">
        <v>45777.0</v>
      </c>
    </row>
    <row r="2256">
      <c r="A2256" s="4" t="s">
        <v>4513</v>
      </c>
      <c r="B2256" s="5" t="s">
        <v>4514</v>
      </c>
      <c r="C2256" s="6"/>
      <c r="D2256" s="7">
        <v>45468.0</v>
      </c>
      <c r="E2256" s="7">
        <v>45776.0</v>
      </c>
      <c r="F2256" s="7">
        <v>45776.0</v>
      </c>
    </row>
    <row r="2257">
      <c r="A2257" s="4" t="s">
        <v>4515</v>
      </c>
      <c r="B2257" s="5" t="s">
        <v>4516</v>
      </c>
      <c r="C2257" s="6"/>
      <c r="D2257" s="7">
        <v>45468.0</v>
      </c>
      <c r="E2257" s="7">
        <v>45783.0</v>
      </c>
      <c r="F2257" s="7">
        <v>45783.0</v>
      </c>
    </row>
    <row r="2258">
      <c r="A2258" s="4" t="s">
        <v>4517</v>
      </c>
      <c r="B2258" s="5" t="s">
        <v>4518</v>
      </c>
      <c r="C2258" s="6"/>
      <c r="D2258" s="7">
        <v>45468.0</v>
      </c>
      <c r="E2258" s="7">
        <v>45777.0</v>
      </c>
      <c r="F2258" s="7">
        <v>45777.0</v>
      </c>
    </row>
    <row r="2259">
      <c r="A2259" s="4" t="s">
        <v>4519</v>
      </c>
      <c r="B2259" s="5" t="s">
        <v>4520</v>
      </c>
      <c r="C2259" s="6"/>
      <c r="D2259" s="7">
        <v>45469.0</v>
      </c>
      <c r="E2259" s="7">
        <v>45770.0</v>
      </c>
      <c r="F2259" s="7">
        <v>45770.0</v>
      </c>
    </row>
    <row r="2260">
      <c r="A2260" s="4" t="s">
        <v>4521</v>
      </c>
      <c r="B2260" s="5" t="s">
        <v>4522</v>
      </c>
      <c r="C2260" s="6"/>
      <c r="D2260" s="7">
        <v>45469.0</v>
      </c>
      <c r="E2260" s="7">
        <v>45777.0</v>
      </c>
      <c r="F2260" s="7">
        <v>45777.0</v>
      </c>
    </row>
    <row r="2261">
      <c r="A2261" s="4" t="s">
        <v>4523</v>
      </c>
      <c r="B2261" s="5" t="s">
        <v>4524</v>
      </c>
      <c r="C2261" s="6"/>
      <c r="D2261" s="7">
        <v>45469.0</v>
      </c>
      <c r="E2261" s="7">
        <v>45797.0</v>
      </c>
      <c r="F2261" s="7">
        <v>45797.0</v>
      </c>
    </row>
    <row r="2262">
      <c r="A2262" s="4" t="s">
        <v>4525</v>
      </c>
      <c r="B2262" s="5" t="s">
        <v>4526</v>
      </c>
      <c r="C2262" s="6"/>
      <c r="D2262" s="7">
        <v>45469.0</v>
      </c>
      <c r="E2262" s="7">
        <v>45785.0</v>
      </c>
      <c r="F2262" s="7">
        <v>45785.0</v>
      </c>
    </row>
    <row r="2263">
      <c r="A2263" s="4" t="s">
        <v>4527</v>
      </c>
      <c r="B2263" s="5" t="s">
        <v>4528</v>
      </c>
      <c r="C2263" s="6"/>
      <c r="D2263" s="7">
        <v>45469.0</v>
      </c>
      <c r="E2263" s="7">
        <v>45413.0</v>
      </c>
      <c r="F2263" s="7">
        <v>45413.0</v>
      </c>
    </row>
    <row r="2264">
      <c r="A2264" s="4" t="s">
        <v>4529</v>
      </c>
      <c r="B2264" s="5" t="s">
        <v>4530</v>
      </c>
      <c r="C2264" s="6"/>
      <c r="D2264" s="7">
        <v>45469.0</v>
      </c>
      <c r="E2264" s="7">
        <v>45777.0</v>
      </c>
      <c r="F2264" s="7">
        <v>45777.0</v>
      </c>
    </row>
    <row r="2265">
      <c r="A2265" s="4" t="s">
        <v>4531</v>
      </c>
      <c r="B2265" s="5" t="s">
        <v>4532</v>
      </c>
      <c r="C2265" s="6"/>
      <c r="D2265" s="7">
        <v>45469.0</v>
      </c>
      <c r="E2265" s="7">
        <v>45776.0</v>
      </c>
      <c r="F2265" s="7">
        <v>45776.0</v>
      </c>
    </row>
    <row r="2266">
      <c r="A2266" s="4" t="s">
        <v>4533</v>
      </c>
      <c r="B2266" s="5" t="s">
        <v>4534</v>
      </c>
      <c r="C2266" s="6"/>
      <c r="D2266" s="7">
        <v>45469.0</v>
      </c>
      <c r="E2266" s="7">
        <v>45776.0</v>
      </c>
      <c r="F2266" s="7">
        <v>45776.0</v>
      </c>
    </row>
    <row r="2267">
      <c r="A2267" s="4" t="s">
        <v>4535</v>
      </c>
      <c r="B2267" s="5" t="s">
        <v>4536</v>
      </c>
      <c r="C2267" s="6"/>
      <c r="D2267" s="7">
        <v>45469.0</v>
      </c>
      <c r="E2267" s="7">
        <v>45776.0</v>
      </c>
      <c r="F2267" s="7">
        <v>45776.0</v>
      </c>
    </row>
    <row r="2268">
      <c r="A2268" s="4" t="s">
        <v>4537</v>
      </c>
      <c r="B2268" s="5" t="s">
        <v>4538</v>
      </c>
      <c r="C2268" s="6"/>
      <c r="D2268" s="7">
        <v>45469.0</v>
      </c>
      <c r="E2268" s="7">
        <v>45776.0</v>
      </c>
      <c r="F2268" s="7">
        <v>45776.0</v>
      </c>
    </row>
    <row r="2269">
      <c r="A2269" s="4" t="s">
        <v>4539</v>
      </c>
      <c r="B2269" s="5" t="s">
        <v>4540</v>
      </c>
      <c r="C2269" s="6"/>
      <c r="D2269" s="7">
        <v>45470.0</v>
      </c>
      <c r="E2269" s="7">
        <v>45776.0</v>
      </c>
      <c r="F2269" s="7">
        <v>45776.0</v>
      </c>
    </row>
    <row r="2270">
      <c r="A2270" s="4" t="s">
        <v>4541</v>
      </c>
      <c r="B2270" s="5" t="s">
        <v>4542</v>
      </c>
      <c r="C2270" s="6"/>
      <c r="D2270" s="7">
        <v>45470.0</v>
      </c>
      <c r="E2270" s="7">
        <v>45776.0</v>
      </c>
      <c r="F2270" s="7">
        <v>45776.0</v>
      </c>
    </row>
    <row r="2271">
      <c r="A2271" s="4" t="s">
        <v>4543</v>
      </c>
      <c r="B2271" s="5" t="s">
        <v>4544</v>
      </c>
      <c r="C2271" s="6"/>
      <c r="D2271" s="7">
        <v>45470.0</v>
      </c>
      <c r="E2271" s="7">
        <v>45776.0</v>
      </c>
      <c r="F2271" s="7">
        <v>45776.0</v>
      </c>
    </row>
    <row r="2272">
      <c r="A2272" s="4" t="s">
        <v>4545</v>
      </c>
      <c r="B2272" s="5" t="s">
        <v>4546</v>
      </c>
      <c r="C2272" s="6"/>
      <c r="D2272" s="7">
        <v>45470.0</v>
      </c>
      <c r="E2272" s="7">
        <v>45776.0</v>
      </c>
      <c r="F2272" s="7">
        <v>45776.0</v>
      </c>
    </row>
    <row r="2273">
      <c r="A2273" s="4" t="s">
        <v>4547</v>
      </c>
      <c r="B2273" s="5" t="s">
        <v>4548</v>
      </c>
      <c r="C2273" s="6"/>
      <c r="D2273" s="7">
        <v>45470.0</v>
      </c>
      <c r="E2273" s="7">
        <v>45776.0</v>
      </c>
      <c r="F2273" s="7">
        <v>45776.0</v>
      </c>
    </row>
    <row r="2274">
      <c r="A2274" s="4" t="s">
        <v>4549</v>
      </c>
      <c r="B2274" s="5" t="s">
        <v>4550</v>
      </c>
      <c r="C2274" s="6"/>
      <c r="D2274" s="7">
        <v>45470.0</v>
      </c>
      <c r="E2274" s="7">
        <v>45783.0</v>
      </c>
      <c r="F2274" s="7">
        <v>45783.0</v>
      </c>
    </row>
    <row r="2275">
      <c r="A2275" s="4" t="s">
        <v>4551</v>
      </c>
      <c r="B2275" s="5" t="s">
        <v>4552</v>
      </c>
      <c r="C2275" s="6"/>
      <c r="D2275" s="7">
        <v>45470.0</v>
      </c>
      <c r="E2275" s="7">
        <v>45813.0</v>
      </c>
      <c r="F2275" s="7">
        <v>45813.0</v>
      </c>
    </row>
    <row r="2276">
      <c r="A2276" s="4" t="s">
        <v>4553</v>
      </c>
      <c r="B2276" s="5" t="s">
        <v>4554</v>
      </c>
      <c r="C2276" s="6"/>
      <c r="D2276" s="7">
        <v>45470.0</v>
      </c>
      <c r="E2276" s="7">
        <v>45783.0</v>
      </c>
      <c r="F2276" s="7">
        <v>45783.0</v>
      </c>
    </row>
    <row r="2277">
      <c r="A2277" s="4" t="s">
        <v>4555</v>
      </c>
      <c r="B2277" s="5" t="s">
        <v>4556</v>
      </c>
      <c r="C2277" s="6"/>
      <c r="D2277" s="7">
        <v>45470.0</v>
      </c>
      <c r="E2277" s="7">
        <v>45807.0</v>
      </c>
      <c r="F2277" s="7">
        <v>45807.0</v>
      </c>
    </row>
    <row r="2278">
      <c r="A2278" s="4" t="s">
        <v>4557</v>
      </c>
      <c r="B2278" s="5" t="s">
        <v>4558</v>
      </c>
      <c r="C2278" s="6"/>
      <c r="D2278" s="7">
        <v>45470.0</v>
      </c>
      <c r="E2278" s="7">
        <v>45776.0</v>
      </c>
      <c r="F2278" s="7">
        <v>45776.0</v>
      </c>
    </row>
    <row r="2279">
      <c r="A2279" s="4" t="s">
        <v>4559</v>
      </c>
      <c r="B2279" s="5" t="s">
        <v>4560</v>
      </c>
      <c r="C2279" s="6"/>
      <c r="D2279" s="7">
        <v>45470.0</v>
      </c>
      <c r="E2279" s="7">
        <v>45776.0</v>
      </c>
      <c r="F2279" s="7">
        <v>45776.0</v>
      </c>
    </row>
    <row r="2280">
      <c r="A2280" s="4" t="s">
        <v>4561</v>
      </c>
      <c r="B2280" s="5" t="s">
        <v>4562</v>
      </c>
      <c r="C2280" s="6"/>
      <c r="D2280" s="7">
        <v>45470.0</v>
      </c>
      <c r="E2280" s="7">
        <v>45778.0</v>
      </c>
      <c r="F2280" s="7">
        <v>45778.0</v>
      </c>
    </row>
    <row r="2281">
      <c r="A2281" s="4" t="s">
        <v>4563</v>
      </c>
      <c r="B2281" s="5" t="s">
        <v>4564</v>
      </c>
      <c r="C2281" s="6"/>
      <c r="D2281" s="7">
        <v>45470.0</v>
      </c>
      <c r="E2281" s="7">
        <v>45776.0</v>
      </c>
      <c r="F2281" s="7">
        <v>45776.0</v>
      </c>
    </row>
    <row r="2282">
      <c r="A2282" s="4" t="s">
        <v>4565</v>
      </c>
      <c r="B2282" s="5" t="s">
        <v>4566</v>
      </c>
      <c r="C2282" s="6"/>
      <c r="D2282" s="7">
        <v>45470.0</v>
      </c>
      <c r="E2282" s="7">
        <v>45782.0</v>
      </c>
      <c r="F2282" s="7">
        <v>45782.0</v>
      </c>
    </row>
    <row r="2283">
      <c r="A2283" s="4" t="s">
        <v>4567</v>
      </c>
      <c r="B2283" s="5" t="s">
        <v>4568</v>
      </c>
      <c r="C2283" s="6"/>
      <c r="D2283" s="7">
        <v>45470.0</v>
      </c>
      <c r="E2283" s="7">
        <v>45776.0</v>
      </c>
      <c r="F2283" s="7">
        <v>45776.0</v>
      </c>
    </row>
    <row r="2284">
      <c r="A2284" s="4" t="s">
        <v>4569</v>
      </c>
      <c r="B2284" s="5" t="s">
        <v>4570</v>
      </c>
      <c r="C2284" s="6"/>
      <c r="D2284" s="7">
        <v>45471.0</v>
      </c>
      <c r="E2284" s="7">
        <v>45776.0</v>
      </c>
      <c r="F2284" s="7">
        <v>45776.0</v>
      </c>
    </row>
    <row r="2285">
      <c r="A2285" s="4" t="s">
        <v>4571</v>
      </c>
      <c r="B2285" s="5" t="s">
        <v>4572</v>
      </c>
      <c r="C2285" s="6"/>
      <c r="D2285" s="7">
        <v>45471.0</v>
      </c>
      <c r="E2285" s="7">
        <v>45776.0</v>
      </c>
      <c r="F2285" s="7">
        <v>45776.0</v>
      </c>
    </row>
    <row r="2286">
      <c r="A2286" s="4" t="s">
        <v>4573</v>
      </c>
      <c r="B2286" s="5" t="s">
        <v>4574</v>
      </c>
      <c r="C2286" s="6"/>
      <c r="D2286" s="7">
        <v>45471.0</v>
      </c>
      <c r="E2286" s="7">
        <v>45776.0</v>
      </c>
      <c r="F2286" s="7">
        <v>45776.0</v>
      </c>
    </row>
    <row r="2287">
      <c r="A2287" s="4" t="s">
        <v>4575</v>
      </c>
      <c r="B2287" s="5" t="s">
        <v>4576</v>
      </c>
      <c r="C2287" s="6"/>
      <c r="D2287" s="7">
        <v>45471.0</v>
      </c>
      <c r="E2287" s="7">
        <v>45778.0</v>
      </c>
      <c r="F2287" s="7">
        <v>45778.0</v>
      </c>
    </row>
    <row r="2288">
      <c r="A2288" s="4" t="s">
        <v>4577</v>
      </c>
      <c r="B2288" s="5" t="s">
        <v>4578</v>
      </c>
      <c r="C2288" s="6"/>
      <c r="D2288" s="7">
        <v>45475.0</v>
      </c>
      <c r="E2288" s="7">
        <v>45783.0</v>
      </c>
      <c r="F2288" s="7">
        <v>45783.0</v>
      </c>
    </row>
    <row r="2289">
      <c r="A2289" s="4" t="s">
        <v>4579</v>
      </c>
      <c r="B2289" s="5" t="s">
        <v>4580</v>
      </c>
      <c r="C2289" s="6"/>
      <c r="D2289" s="7">
        <v>45475.0</v>
      </c>
      <c r="E2289" s="7">
        <v>45412.0</v>
      </c>
      <c r="F2289" s="7">
        <v>45412.0</v>
      </c>
    </row>
    <row r="2290">
      <c r="A2290" s="4" t="s">
        <v>4581</v>
      </c>
      <c r="B2290" s="5" t="s">
        <v>4582</v>
      </c>
      <c r="C2290" s="6"/>
      <c r="D2290" s="7">
        <v>45475.0</v>
      </c>
      <c r="E2290" s="7">
        <v>45769.0</v>
      </c>
      <c r="F2290" s="7">
        <v>45769.0</v>
      </c>
    </row>
    <row r="2291">
      <c r="A2291" s="4" t="s">
        <v>4583</v>
      </c>
      <c r="B2291" s="5" t="s">
        <v>4584</v>
      </c>
      <c r="C2291" s="6"/>
      <c r="D2291" s="7">
        <v>45478.0</v>
      </c>
      <c r="E2291" s="7">
        <v>45776.0</v>
      </c>
      <c r="F2291" s="7">
        <v>45776.0</v>
      </c>
    </row>
    <row r="2292">
      <c r="A2292" s="4" t="s">
        <v>4585</v>
      </c>
      <c r="B2292" s="5" t="s">
        <v>4586</v>
      </c>
      <c r="C2292" s="6"/>
      <c r="D2292" s="7">
        <v>45482.0</v>
      </c>
      <c r="E2292" s="7">
        <v>45776.0</v>
      </c>
      <c r="F2292" s="7">
        <v>45776.0</v>
      </c>
    </row>
    <row r="2293">
      <c r="A2293" s="4" t="s">
        <v>4587</v>
      </c>
      <c r="B2293" s="5" t="s">
        <v>4588</v>
      </c>
      <c r="C2293" s="6"/>
      <c r="D2293" s="7">
        <v>45482.0</v>
      </c>
      <c r="E2293" s="7">
        <v>45805.0</v>
      </c>
      <c r="F2293" s="7">
        <v>45805.0</v>
      </c>
    </row>
    <row r="2294">
      <c r="A2294" s="4" t="s">
        <v>4589</v>
      </c>
      <c r="B2294" s="5" t="s">
        <v>4590</v>
      </c>
      <c r="C2294" s="6"/>
      <c r="D2294" s="7">
        <v>45482.0</v>
      </c>
      <c r="E2294" s="7">
        <v>45775.0</v>
      </c>
      <c r="F2294" s="7">
        <v>45775.0</v>
      </c>
    </row>
    <row r="2295">
      <c r="A2295" s="4" t="s">
        <v>4591</v>
      </c>
      <c r="B2295" s="5" t="s">
        <v>4592</v>
      </c>
      <c r="C2295" s="6"/>
      <c r="D2295" s="7">
        <v>45483.0</v>
      </c>
      <c r="E2295" s="7">
        <v>45782.0</v>
      </c>
      <c r="F2295" s="7">
        <v>45782.0</v>
      </c>
    </row>
    <row r="2296">
      <c r="A2296" s="4" t="s">
        <v>4593</v>
      </c>
      <c r="B2296" s="5" t="s">
        <v>4594</v>
      </c>
      <c r="C2296" s="6"/>
      <c r="D2296" s="7">
        <v>45483.0</v>
      </c>
      <c r="E2296" s="7">
        <v>45775.0</v>
      </c>
      <c r="F2296" s="7">
        <v>45775.0</v>
      </c>
    </row>
    <row r="2297">
      <c r="A2297" s="4" t="s">
        <v>4595</v>
      </c>
      <c r="B2297" s="5" t="s">
        <v>4596</v>
      </c>
      <c r="C2297" s="6"/>
      <c r="D2297" s="7">
        <v>45484.0</v>
      </c>
      <c r="E2297" s="7">
        <v>45775.0</v>
      </c>
      <c r="F2297" s="7">
        <v>45775.0</v>
      </c>
    </row>
    <row r="2298">
      <c r="A2298" s="4" t="s">
        <v>4597</v>
      </c>
      <c r="B2298" s="5" t="s">
        <v>4598</v>
      </c>
      <c r="C2298" s="6"/>
      <c r="D2298" s="7">
        <v>45488.0</v>
      </c>
      <c r="E2298" s="7">
        <v>45776.0</v>
      </c>
      <c r="F2298" s="7">
        <v>45776.0</v>
      </c>
    </row>
    <row r="2299">
      <c r="A2299" s="4" t="s">
        <v>4599</v>
      </c>
      <c r="B2299" s="5" t="s">
        <v>4600</v>
      </c>
      <c r="C2299" s="6"/>
      <c r="D2299" s="7">
        <v>45489.0</v>
      </c>
      <c r="E2299" s="7">
        <v>45785.0</v>
      </c>
      <c r="F2299" s="7">
        <v>45785.0</v>
      </c>
    </row>
    <row r="2300">
      <c r="A2300" s="4" t="s">
        <v>4601</v>
      </c>
      <c r="B2300" s="5" t="s">
        <v>4602</v>
      </c>
      <c r="C2300" s="6"/>
      <c r="D2300" s="7">
        <v>45489.0</v>
      </c>
      <c r="E2300" s="7">
        <v>45785.0</v>
      </c>
      <c r="F2300" s="7">
        <v>45785.0</v>
      </c>
    </row>
    <row r="2301">
      <c r="A2301" s="4" t="s">
        <v>4603</v>
      </c>
      <c r="B2301" s="5" t="s">
        <v>4604</v>
      </c>
      <c r="C2301" s="6"/>
      <c r="D2301" s="7">
        <v>45489.0</v>
      </c>
      <c r="E2301" s="7">
        <v>45805.0</v>
      </c>
      <c r="F2301" s="7">
        <v>45805.0</v>
      </c>
    </row>
    <row r="2302">
      <c r="A2302" s="4" t="s">
        <v>4605</v>
      </c>
      <c r="B2302" s="5" t="s">
        <v>4606</v>
      </c>
      <c r="C2302" s="6"/>
      <c r="D2302" s="7">
        <v>45489.0</v>
      </c>
      <c r="E2302" s="7">
        <v>45785.0</v>
      </c>
      <c r="F2302" s="7">
        <v>45785.0</v>
      </c>
    </row>
    <row r="2303">
      <c r="A2303" s="4" t="s">
        <v>4607</v>
      </c>
      <c r="B2303" s="5" t="s">
        <v>4608</v>
      </c>
      <c r="C2303" s="6"/>
      <c r="D2303" s="7">
        <v>45490.0</v>
      </c>
      <c r="E2303" s="7">
        <v>45783.0</v>
      </c>
      <c r="F2303" s="7">
        <v>45783.0</v>
      </c>
    </row>
    <row r="2304">
      <c r="A2304" s="4" t="s">
        <v>4609</v>
      </c>
      <c r="B2304" s="5" t="s">
        <v>4610</v>
      </c>
      <c r="C2304" s="6"/>
      <c r="D2304" s="7">
        <v>45490.0</v>
      </c>
      <c r="E2304" s="7">
        <v>45761.0</v>
      </c>
      <c r="F2304" s="7">
        <v>45761.0</v>
      </c>
    </row>
    <row r="2305">
      <c r="A2305" s="4" t="s">
        <v>4611</v>
      </c>
      <c r="B2305" s="5" t="s">
        <v>4612</v>
      </c>
      <c r="C2305" s="6"/>
      <c r="D2305" s="7">
        <v>45491.0</v>
      </c>
      <c r="E2305" s="7">
        <v>45411.0</v>
      </c>
      <c r="F2305" s="7">
        <v>45411.0</v>
      </c>
    </row>
    <row r="2306">
      <c r="A2306" s="4" t="s">
        <v>4613</v>
      </c>
      <c r="B2306" s="5" t="s">
        <v>4614</v>
      </c>
      <c r="C2306" s="6"/>
      <c r="D2306" s="7">
        <v>45491.0</v>
      </c>
      <c r="E2306" s="7">
        <v>45772.0</v>
      </c>
      <c r="F2306" s="7">
        <v>45772.0</v>
      </c>
    </row>
    <row r="2307">
      <c r="A2307" s="4" t="s">
        <v>4615</v>
      </c>
      <c r="B2307" s="5" t="s">
        <v>4616</v>
      </c>
      <c r="C2307" s="6"/>
      <c r="D2307" s="7">
        <v>45491.0</v>
      </c>
      <c r="E2307" s="7">
        <v>45777.0</v>
      </c>
      <c r="F2307" s="7">
        <v>45777.0</v>
      </c>
    </row>
    <row r="2308">
      <c r="A2308" s="4" t="s">
        <v>4617</v>
      </c>
      <c r="B2308" s="5" t="s">
        <v>4618</v>
      </c>
      <c r="C2308" s="6"/>
      <c r="D2308" s="7">
        <v>45491.0</v>
      </c>
      <c r="E2308" s="7">
        <v>45408.0</v>
      </c>
      <c r="F2308" s="7">
        <v>45408.0</v>
      </c>
    </row>
    <row r="2309">
      <c r="A2309" s="4" t="s">
        <v>4619</v>
      </c>
      <c r="B2309" s="5" t="s">
        <v>4620</v>
      </c>
      <c r="C2309" s="6"/>
      <c r="D2309" s="7">
        <v>45126.0</v>
      </c>
      <c r="E2309" s="7">
        <v>45779.0</v>
      </c>
      <c r="F2309" s="7">
        <v>45779.0</v>
      </c>
    </row>
    <row r="2310">
      <c r="A2310" s="4" t="s">
        <v>4621</v>
      </c>
      <c r="B2310" s="5" t="s">
        <v>4622</v>
      </c>
      <c r="C2310" s="6"/>
      <c r="D2310" s="7">
        <v>45492.0</v>
      </c>
      <c r="E2310" s="7">
        <v>45763.0</v>
      </c>
      <c r="F2310" s="7">
        <v>45763.0</v>
      </c>
    </row>
    <row r="2311">
      <c r="A2311" s="4" t="s">
        <v>4623</v>
      </c>
      <c r="B2311" s="5" t="s">
        <v>4624</v>
      </c>
      <c r="C2311" s="6"/>
      <c r="D2311" s="7">
        <v>45492.0</v>
      </c>
      <c r="E2311" s="7">
        <v>45772.0</v>
      </c>
      <c r="F2311" s="7">
        <v>45772.0</v>
      </c>
    </row>
    <row r="2312">
      <c r="A2312" s="4" t="s">
        <v>4625</v>
      </c>
      <c r="B2312" s="5" t="s">
        <v>4626</v>
      </c>
      <c r="C2312" s="6"/>
      <c r="D2312" s="7">
        <v>45495.0</v>
      </c>
      <c r="E2312" s="7">
        <v>45772.0</v>
      </c>
      <c r="F2312" s="7">
        <v>45772.0</v>
      </c>
    </row>
    <row r="2313">
      <c r="A2313" s="4" t="s">
        <v>4627</v>
      </c>
      <c r="B2313" s="5" t="s">
        <v>4628</v>
      </c>
      <c r="C2313" s="6"/>
      <c r="D2313" s="7">
        <v>45495.0</v>
      </c>
      <c r="E2313" s="7">
        <v>45779.0</v>
      </c>
      <c r="F2313" s="7">
        <v>45779.0</v>
      </c>
    </row>
    <row r="2314">
      <c r="A2314" s="4" t="s">
        <v>4629</v>
      </c>
      <c r="B2314" s="5" t="s">
        <v>4630</v>
      </c>
      <c r="C2314" s="6"/>
      <c r="D2314" s="7">
        <v>45496.0</v>
      </c>
      <c r="E2314" s="7">
        <v>45772.0</v>
      </c>
      <c r="F2314" s="7">
        <v>45772.0</v>
      </c>
    </row>
    <row r="2315">
      <c r="A2315" s="4" t="s">
        <v>4631</v>
      </c>
      <c r="B2315" s="5" t="s">
        <v>4632</v>
      </c>
      <c r="C2315" s="6"/>
      <c r="D2315" s="7">
        <v>45496.0</v>
      </c>
      <c r="E2315" s="7">
        <v>45772.0</v>
      </c>
      <c r="F2315" s="7">
        <v>45772.0</v>
      </c>
    </row>
    <row r="2316">
      <c r="A2316" s="4" t="s">
        <v>4633</v>
      </c>
      <c r="B2316" s="5" t="s">
        <v>4634</v>
      </c>
      <c r="C2316" s="6"/>
      <c r="D2316" s="7">
        <v>45497.0</v>
      </c>
      <c r="E2316" s="7">
        <v>45772.0</v>
      </c>
      <c r="F2316" s="7">
        <v>45772.0</v>
      </c>
    </row>
    <row r="2317">
      <c r="A2317" s="4" t="s">
        <v>4635</v>
      </c>
      <c r="B2317" s="5" t="s">
        <v>4636</v>
      </c>
      <c r="C2317" s="6"/>
      <c r="D2317" s="7">
        <v>45498.0</v>
      </c>
      <c r="E2317" s="7">
        <v>45772.0</v>
      </c>
      <c r="F2317" s="7">
        <v>45772.0</v>
      </c>
    </row>
    <row r="2318">
      <c r="A2318" s="4" t="s">
        <v>4637</v>
      </c>
      <c r="B2318" s="5" t="s">
        <v>4638</v>
      </c>
      <c r="C2318" s="6"/>
      <c r="D2318" s="7">
        <v>45498.0</v>
      </c>
      <c r="E2318" s="7">
        <v>45800.0</v>
      </c>
      <c r="F2318" s="7">
        <v>45800.0</v>
      </c>
    </row>
    <row r="2319">
      <c r="A2319" s="4" t="s">
        <v>4639</v>
      </c>
      <c r="B2319" s="5" t="s">
        <v>4640</v>
      </c>
      <c r="C2319" s="6"/>
      <c r="D2319" s="7">
        <v>45498.0</v>
      </c>
      <c r="E2319" s="7">
        <v>45772.0</v>
      </c>
      <c r="F2319" s="7">
        <v>45772.0</v>
      </c>
    </row>
    <row r="2320">
      <c r="A2320" s="4" t="s">
        <v>4641</v>
      </c>
      <c r="B2320" s="5" t="s">
        <v>4642</v>
      </c>
      <c r="C2320" s="6"/>
      <c r="D2320" s="7">
        <v>45498.0</v>
      </c>
      <c r="E2320" s="7">
        <v>45772.0</v>
      </c>
      <c r="F2320" s="7">
        <v>45772.0</v>
      </c>
    </row>
    <row r="2321">
      <c r="A2321" s="4" t="s">
        <v>4643</v>
      </c>
      <c r="B2321" s="5" t="s">
        <v>4644</v>
      </c>
      <c r="C2321" s="6"/>
      <c r="D2321" s="7">
        <v>45498.0</v>
      </c>
      <c r="E2321" s="7">
        <v>45772.0</v>
      </c>
      <c r="F2321" s="7">
        <v>45772.0</v>
      </c>
    </row>
    <row r="2322">
      <c r="A2322" s="4" t="s">
        <v>4645</v>
      </c>
      <c r="B2322" s="5" t="s">
        <v>4646</v>
      </c>
      <c r="C2322" s="6"/>
      <c r="D2322" s="7">
        <v>45498.0</v>
      </c>
      <c r="E2322" s="7">
        <v>45771.0</v>
      </c>
      <c r="F2322" s="7">
        <v>45771.0</v>
      </c>
    </row>
    <row r="2323">
      <c r="A2323" s="4" t="s">
        <v>4647</v>
      </c>
      <c r="B2323" s="5" t="s">
        <v>4648</v>
      </c>
      <c r="C2323" s="6"/>
      <c r="D2323" s="7">
        <v>45498.0</v>
      </c>
      <c r="E2323" s="7">
        <v>45778.0</v>
      </c>
      <c r="F2323" s="7">
        <v>45778.0</v>
      </c>
    </row>
    <row r="2324">
      <c r="A2324" s="4" t="s">
        <v>4649</v>
      </c>
      <c r="B2324" s="5" t="s">
        <v>4650</v>
      </c>
      <c r="C2324" s="6"/>
      <c r="D2324" s="7">
        <v>45498.0</v>
      </c>
      <c r="E2324" s="7">
        <v>45764.0</v>
      </c>
      <c r="F2324" s="7">
        <v>45764.0</v>
      </c>
    </row>
    <row r="2325">
      <c r="A2325" s="4" t="s">
        <v>4651</v>
      </c>
      <c r="B2325" s="5" t="s">
        <v>4652</v>
      </c>
      <c r="C2325" s="6"/>
      <c r="D2325" s="7">
        <v>45498.0</v>
      </c>
      <c r="E2325" s="7">
        <v>45771.0</v>
      </c>
      <c r="F2325" s="7">
        <v>45771.0</v>
      </c>
    </row>
    <row r="2326">
      <c r="A2326" s="4" t="s">
        <v>4653</v>
      </c>
      <c r="B2326" s="5" t="s">
        <v>4654</v>
      </c>
      <c r="C2326" s="6"/>
      <c r="D2326" s="7">
        <v>45499.0</v>
      </c>
      <c r="E2326" s="7">
        <v>45771.0</v>
      </c>
      <c r="F2326" s="7">
        <v>45771.0</v>
      </c>
    </row>
    <row r="2327">
      <c r="A2327" s="4" t="s">
        <v>4655</v>
      </c>
      <c r="B2327" s="5" t="s">
        <v>4656</v>
      </c>
      <c r="C2327" s="6"/>
      <c r="D2327" s="7">
        <v>45502.0</v>
      </c>
      <c r="E2327" s="7">
        <v>45771.0</v>
      </c>
      <c r="F2327" s="7">
        <v>45771.0</v>
      </c>
    </row>
    <row r="2328">
      <c r="A2328" s="4" t="s">
        <v>4657</v>
      </c>
      <c r="B2328" s="5" t="s">
        <v>4658</v>
      </c>
      <c r="C2328" s="6"/>
      <c r="D2328" s="7">
        <v>45503.0</v>
      </c>
      <c r="E2328" s="7">
        <v>45771.0</v>
      </c>
      <c r="F2328" s="7">
        <v>45771.0</v>
      </c>
    </row>
    <row r="2329">
      <c r="A2329" s="4" t="s">
        <v>4659</v>
      </c>
      <c r="B2329" s="5" t="s">
        <v>4660</v>
      </c>
      <c r="C2329" s="6"/>
      <c r="D2329" s="7">
        <v>45503.0</v>
      </c>
      <c r="E2329" s="7">
        <v>45771.0</v>
      </c>
      <c r="F2329" s="7">
        <v>45771.0</v>
      </c>
    </row>
    <row r="2330">
      <c r="A2330" s="4" t="s">
        <v>4661</v>
      </c>
      <c r="B2330" s="5" t="s">
        <v>4662</v>
      </c>
      <c r="C2330" s="6"/>
      <c r="D2330" s="7">
        <v>45503.0</v>
      </c>
      <c r="E2330" s="7">
        <v>45771.0</v>
      </c>
      <c r="F2330" s="7">
        <v>45771.0</v>
      </c>
    </row>
    <row r="2331">
      <c r="A2331" s="4" t="s">
        <v>4663</v>
      </c>
      <c r="B2331" s="5" t="s">
        <v>4664</v>
      </c>
      <c r="C2331" s="6"/>
      <c r="D2331" s="7">
        <v>45503.0</v>
      </c>
      <c r="E2331" s="7">
        <v>45407.0</v>
      </c>
      <c r="F2331" s="7">
        <v>45407.0</v>
      </c>
    </row>
    <row r="2332">
      <c r="A2332" s="4" t="s">
        <v>4665</v>
      </c>
      <c r="B2332" s="5" t="s">
        <v>4666</v>
      </c>
      <c r="C2332" s="6"/>
      <c r="D2332" s="7">
        <v>45504.0</v>
      </c>
      <c r="E2332" s="7">
        <v>45771.0</v>
      </c>
      <c r="F2332" s="7">
        <v>45771.0</v>
      </c>
    </row>
    <row r="2333">
      <c r="A2333" s="4" t="s">
        <v>4667</v>
      </c>
      <c r="B2333" s="5" t="s">
        <v>4668</v>
      </c>
      <c r="C2333" s="6"/>
      <c r="D2333" s="7">
        <v>45504.0</v>
      </c>
      <c r="E2333" s="7">
        <v>45770.0</v>
      </c>
      <c r="F2333" s="7">
        <v>45770.0</v>
      </c>
    </row>
    <row r="2334">
      <c r="A2334" s="4" t="s">
        <v>4669</v>
      </c>
      <c r="B2334" s="5" t="s">
        <v>4670</v>
      </c>
      <c r="C2334" s="6"/>
      <c r="D2334" s="7">
        <v>45504.0</v>
      </c>
      <c r="E2334" s="7">
        <v>45771.0</v>
      </c>
      <c r="F2334" s="7">
        <v>45771.0</v>
      </c>
    </row>
    <row r="2335">
      <c r="A2335" s="4" t="s">
        <v>4671</v>
      </c>
      <c r="B2335" s="5" t="s">
        <v>4672</v>
      </c>
      <c r="C2335" s="6"/>
      <c r="D2335" s="7">
        <v>45505.0</v>
      </c>
      <c r="E2335" s="7">
        <v>45771.0</v>
      </c>
      <c r="F2335" s="7">
        <v>45771.0</v>
      </c>
    </row>
    <row r="2336">
      <c r="A2336" s="4" t="s">
        <v>4673</v>
      </c>
      <c r="B2336" s="5" t="s">
        <v>4674</v>
      </c>
      <c r="C2336" s="6"/>
      <c r="D2336" s="7">
        <v>45505.0</v>
      </c>
      <c r="E2336" s="7">
        <v>45771.0</v>
      </c>
      <c r="F2336" s="7">
        <v>45771.0</v>
      </c>
    </row>
    <row r="2337">
      <c r="A2337" s="4" t="s">
        <v>4675</v>
      </c>
      <c r="B2337" s="5" t="s">
        <v>4676</v>
      </c>
      <c r="C2337" s="6"/>
      <c r="D2337" s="7">
        <v>45505.0</v>
      </c>
      <c r="E2337" s="7">
        <v>45786.0</v>
      </c>
      <c r="F2337" s="7">
        <v>45786.0</v>
      </c>
    </row>
    <row r="2338">
      <c r="A2338" s="4" t="s">
        <v>4677</v>
      </c>
      <c r="B2338" s="5" t="s">
        <v>4678</v>
      </c>
      <c r="C2338" s="6"/>
      <c r="D2338" s="7">
        <v>45505.0</v>
      </c>
      <c r="E2338" s="7">
        <v>45770.0</v>
      </c>
      <c r="F2338" s="7">
        <v>45770.0</v>
      </c>
    </row>
    <row r="2339">
      <c r="A2339" s="4" t="s">
        <v>4679</v>
      </c>
      <c r="B2339" s="5" t="s">
        <v>4680</v>
      </c>
      <c r="C2339" s="6"/>
      <c r="D2339" s="7">
        <v>45505.0</v>
      </c>
      <c r="E2339" s="7">
        <v>45778.0</v>
      </c>
      <c r="F2339" s="7">
        <v>45778.0</v>
      </c>
    </row>
    <row r="2340">
      <c r="A2340" s="4" t="s">
        <v>4681</v>
      </c>
      <c r="B2340" s="5" t="s">
        <v>4682</v>
      </c>
      <c r="C2340" s="6"/>
      <c r="D2340" s="7">
        <v>45505.0</v>
      </c>
      <c r="E2340" s="7">
        <v>45771.0</v>
      </c>
      <c r="F2340" s="7">
        <v>45771.0</v>
      </c>
    </row>
    <row r="2341">
      <c r="A2341" s="4" t="s">
        <v>4683</v>
      </c>
      <c r="B2341" s="5" t="s">
        <v>4684</v>
      </c>
      <c r="C2341" s="6"/>
      <c r="D2341" s="7">
        <v>45505.0</v>
      </c>
      <c r="E2341" s="7">
        <v>45778.0</v>
      </c>
      <c r="F2341" s="7">
        <v>45778.0</v>
      </c>
    </row>
    <row r="2342">
      <c r="A2342" s="4" t="s">
        <v>4685</v>
      </c>
      <c r="B2342" s="5" t="s">
        <v>4686</v>
      </c>
      <c r="C2342" s="6"/>
      <c r="D2342" s="7">
        <v>45505.0</v>
      </c>
      <c r="E2342" s="7">
        <v>45771.0</v>
      </c>
      <c r="F2342" s="7">
        <v>45771.0</v>
      </c>
    </row>
    <row r="2343">
      <c r="A2343" s="4" t="s">
        <v>4687</v>
      </c>
      <c r="B2343" s="5" t="s">
        <v>4688</v>
      </c>
      <c r="C2343" s="6"/>
      <c r="D2343" s="7">
        <v>45506.0</v>
      </c>
      <c r="E2343" s="7">
        <v>45771.0</v>
      </c>
      <c r="F2343" s="7">
        <v>45771.0</v>
      </c>
    </row>
    <row r="2344">
      <c r="A2344" s="4" t="s">
        <v>4689</v>
      </c>
      <c r="B2344" s="5" t="s">
        <v>4690</v>
      </c>
      <c r="C2344" s="6"/>
      <c r="D2344" s="7">
        <v>45510.0</v>
      </c>
      <c r="E2344" s="7">
        <v>45771.0</v>
      </c>
      <c r="F2344" s="7">
        <v>45771.0</v>
      </c>
    </row>
    <row r="2345">
      <c r="A2345" s="4" t="s">
        <v>4691</v>
      </c>
      <c r="B2345" s="5" t="s">
        <v>4692</v>
      </c>
      <c r="C2345" s="6"/>
      <c r="D2345" s="7">
        <v>45510.0</v>
      </c>
      <c r="E2345" s="7">
        <v>45776.0</v>
      </c>
      <c r="F2345" s="7">
        <v>45776.0</v>
      </c>
    </row>
    <row r="2346">
      <c r="A2346" s="4" t="s">
        <v>4693</v>
      </c>
      <c r="B2346" s="5" t="s">
        <v>4694</v>
      </c>
      <c r="C2346" s="6"/>
      <c r="D2346" s="7">
        <v>45510.0</v>
      </c>
      <c r="E2346" s="7">
        <v>45771.0</v>
      </c>
      <c r="F2346" s="7">
        <v>45771.0</v>
      </c>
    </row>
    <row r="2347">
      <c r="A2347" s="4" t="s">
        <v>4695</v>
      </c>
      <c r="B2347" s="5" t="s">
        <v>4696</v>
      </c>
      <c r="C2347" s="6"/>
      <c r="D2347" s="7">
        <v>45510.0</v>
      </c>
      <c r="E2347" s="7">
        <v>45771.0</v>
      </c>
      <c r="F2347" s="7">
        <v>45771.0</v>
      </c>
    </row>
    <row r="2348">
      <c r="A2348" s="4" t="s">
        <v>4697</v>
      </c>
      <c r="B2348" s="5" t="s">
        <v>4698</v>
      </c>
      <c r="C2348" s="6"/>
      <c r="D2348" s="7">
        <v>45510.0</v>
      </c>
      <c r="E2348" s="7">
        <v>45778.0</v>
      </c>
      <c r="F2348" s="7">
        <v>45778.0</v>
      </c>
    </row>
    <row r="2349">
      <c r="A2349" s="4" t="s">
        <v>4699</v>
      </c>
      <c r="B2349" s="5" t="s">
        <v>4700</v>
      </c>
      <c r="C2349" s="6"/>
      <c r="D2349" s="7">
        <v>45512.0</v>
      </c>
      <c r="E2349" s="7">
        <v>45771.0</v>
      </c>
      <c r="F2349" s="7">
        <v>45771.0</v>
      </c>
    </row>
    <row r="2350">
      <c r="A2350" s="4" t="s">
        <v>4701</v>
      </c>
      <c r="B2350" s="5" t="s">
        <v>4702</v>
      </c>
      <c r="C2350" s="6"/>
      <c r="D2350" s="7">
        <v>45512.0</v>
      </c>
      <c r="E2350" s="7">
        <v>45771.0</v>
      </c>
      <c r="F2350" s="7">
        <v>45771.0</v>
      </c>
    </row>
    <row r="2351">
      <c r="A2351" s="4" t="s">
        <v>4703</v>
      </c>
      <c r="B2351" s="5" t="s">
        <v>4704</v>
      </c>
      <c r="C2351" s="6"/>
      <c r="D2351" s="7">
        <v>45512.0</v>
      </c>
      <c r="E2351" s="7">
        <v>45778.0</v>
      </c>
      <c r="F2351" s="7">
        <v>45778.0</v>
      </c>
    </row>
    <row r="2352">
      <c r="A2352" s="4" t="s">
        <v>4705</v>
      </c>
      <c r="B2352" s="5" t="s">
        <v>4706</v>
      </c>
      <c r="C2352" s="6"/>
      <c r="D2352" s="7">
        <v>45512.0</v>
      </c>
      <c r="E2352" s="7">
        <v>45771.0</v>
      </c>
      <c r="F2352" s="7">
        <v>45771.0</v>
      </c>
    </row>
    <row r="2353">
      <c r="A2353" s="4" t="s">
        <v>4707</v>
      </c>
      <c r="B2353" s="5" t="s">
        <v>4708</v>
      </c>
      <c r="C2353" s="6"/>
      <c r="D2353" s="7">
        <v>45512.0</v>
      </c>
      <c r="E2353" s="7">
        <v>45770.0</v>
      </c>
      <c r="F2353" s="7">
        <v>45770.0</v>
      </c>
    </row>
    <row r="2354">
      <c r="A2354" s="4" t="s">
        <v>4709</v>
      </c>
      <c r="B2354" s="5" t="s">
        <v>4710</v>
      </c>
      <c r="C2354" s="6"/>
      <c r="D2354" s="7">
        <v>45512.0</v>
      </c>
      <c r="E2354" s="7">
        <v>45771.0</v>
      </c>
      <c r="F2354" s="7">
        <v>45771.0</v>
      </c>
    </row>
    <row r="2355">
      <c r="A2355" s="4" t="s">
        <v>4711</v>
      </c>
      <c r="B2355" s="5" t="s">
        <v>4712</v>
      </c>
      <c r="C2355" s="6"/>
      <c r="D2355" s="7">
        <v>45512.0</v>
      </c>
      <c r="E2355" s="7">
        <v>45769.0</v>
      </c>
      <c r="F2355" s="7">
        <v>45769.0</v>
      </c>
    </row>
    <row r="2356">
      <c r="A2356" s="4" t="s">
        <v>4713</v>
      </c>
      <c r="B2356" s="5" t="s">
        <v>4714</v>
      </c>
      <c r="C2356" s="6"/>
      <c r="D2356" s="7">
        <v>45516.0</v>
      </c>
      <c r="E2356" s="7">
        <v>45771.0</v>
      </c>
      <c r="F2356" s="7">
        <v>45771.0</v>
      </c>
    </row>
    <row r="2357">
      <c r="A2357" s="4" t="s">
        <v>4715</v>
      </c>
      <c r="B2357" s="5" t="s">
        <v>4716</v>
      </c>
      <c r="C2357" s="6"/>
      <c r="D2357" s="7">
        <v>45517.0</v>
      </c>
      <c r="E2357" s="7">
        <v>45771.0</v>
      </c>
      <c r="F2357" s="7">
        <v>45771.0</v>
      </c>
    </row>
    <row r="2358">
      <c r="A2358" s="4" t="s">
        <v>4717</v>
      </c>
      <c r="B2358" s="5" t="s">
        <v>4718</v>
      </c>
      <c r="C2358" s="6"/>
      <c r="D2358" s="7">
        <v>45517.0</v>
      </c>
      <c r="E2358" s="7">
        <v>45771.0</v>
      </c>
      <c r="F2358" s="7">
        <v>45771.0</v>
      </c>
    </row>
    <row r="2359">
      <c r="A2359" s="4" t="s">
        <v>4719</v>
      </c>
      <c r="B2359" s="5" t="s">
        <v>4720</v>
      </c>
      <c r="C2359" s="6"/>
      <c r="D2359" s="7">
        <v>45517.0</v>
      </c>
      <c r="E2359" s="7">
        <v>45771.0</v>
      </c>
      <c r="F2359" s="7">
        <v>45771.0</v>
      </c>
    </row>
    <row r="2360">
      <c r="A2360" s="4" t="s">
        <v>4721</v>
      </c>
      <c r="B2360" s="5" t="s">
        <v>4722</v>
      </c>
      <c r="C2360" s="6"/>
      <c r="D2360" s="7">
        <v>45517.0</v>
      </c>
      <c r="E2360" s="7">
        <v>45769.0</v>
      </c>
      <c r="F2360" s="7">
        <v>45769.0</v>
      </c>
    </row>
    <row r="2361">
      <c r="A2361" s="4" t="s">
        <v>4723</v>
      </c>
      <c r="B2361" s="5" t="s">
        <v>4724</v>
      </c>
      <c r="C2361" s="6"/>
      <c r="D2361" s="7">
        <v>45517.0</v>
      </c>
      <c r="E2361" s="7">
        <v>45771.0</v>
      </c>
      <c r="F2361" s="7">
        <v>45771.0</v>
      </c>
    </row>
    <row r="2362">
      <c r="A2362" s="4" t="s">
        <v>4725</v>
      </c>
      <c r="B2362" s="5" t="s">
        <v>4726</v>
      </c>
      <c r="C2362" s="6"/>
      <c r="D2362" s="7">
        <v>45518.0</v>
      </c>
      <c r="E2362" s="7">
        <v>45777.0</v>
      </c>
      <c r="F2362" s="7">
        <v>45777.0</v>
      </c>
    </row>
    <row r="2363">
      <c r="A2363" s="4" t="s">
        <v>4727</v>
      </c>
      <c r="B2363" s="5" t="s">
        <v>4728</v>
      </c>
      <c r="C2363" s="6"/>
      <c r="D2363" s="7">
        <v>45518.0</v>
      </c>
      <c r="E2363" s="7">
        <v>45771.0</v>
      </c>
      <c r="F2363" s="7">
        <v>45771.0</v>
      </c>
    </row>
    <row r="2364">
      <c r="A2364" s="4" t="s">
        <v>4729</v>
      </c>
      <c r="B2364" s="5" t="s">
        <v>4730</v>
      </c>
      <c r="C2364" s="6"/>
      <c r="D2364" s="7">
        <v>45518.0</v>
      </c>
      <c r="E2364" s="7">
        <v>45771.0</v>
      </c>
      <c r="F2364" s="7">
        <v>45771.0</v>
      </c>
    </row>
    <row r="2365">
      <c r="A2365" s="4" t="s">
        <v>4731</v>
      </c>
      <c r="B2365" s="5" t="s">
        <v>4732</v>
      </c>
      <c r="C2365" s="6"/>
      <c r="D2365" s="7">
        <v>45519.0</v>
      </c>
      <c r="E2365" s="7">
        <v>45771.0</v>
      </c>
      <c r="F2365" s="7">
        <v>45771.0</v>
      </c>
    </row>
    <row r="2366">
      <c r="A2366" s="4" t="s">
        <v>4733</v>
      </c>
      <c r="B2366" s="5" t="s">
        <v>4734</v>
      </c>
      <c r="C2366" s="6"/>
      <c r="D2366" s="7">
        <v>45519.0</v>
      </c>
      <c r="E2366" s="7">
        <v>45771.0</v>
      </c>
      <c r="F2366" s="7">
        <v>45771.0</v>
      </c>
    </row>
    <row r="2367">
      <c r="A2367" s="4" t="s">
        <v>4735</v>
      </c>
      <c r="B2367" s="5" t="s">
        <v>4736</v>
      </c>
      <c r="C2367" s="6"/>
      <c r="D2367" s="7">
        <v>45519.0</v>
      </c>
      <c r="E2367" s="7">
        <v>45771.0</v>
      </c>
      <c r="F2367" s="7">
        <v>45771.0</v>
      </c>
    </row>
    <row r="2368">
      <c r="A2368" s="4" t="s">
        <v>4737</v>
      </c>
      <c r="B2368" s="5" t="s">
        <v>4738</v>
      </c>
      <c r="C2368" s="6"/>
      <c r="D2368" s="7">
        <v>45519.0</v>
      </c>
      <c r="E2368" s="7">
        <v>45778.0</v>
      </c>
      <c r="F2368" s="7">
        <v>45778.0</v>
      </c>
    </row>
    <row r="2369">
      <c r="A2369" s="4" t="s">
        <v>4739</v>
      </c>
      <c r="B2369" s="5" t="s">
        <v>4740</v>
      </c>
      <c r="C2369" s="6"/>
      <c r="D2369" s="7">
        <v>45519.0</v>
      </c>
      <c r="E2369" s="7">
        <v>45771.0</v>
      </c>
      <c r="F2369" s="7">
        <v>45771.0</v>
      </c>
    </row>
    <row r="2370">
      <c r="A2370" s="4" t="s">
        <v>4741</v>
      </c>
      <c r="B2370" s="5" t="s">
        <v>4742</v>
      </c>
      <c r="C2370" s="6"/>
      <c r="D2370" s="7">
        <v>45523.0</v>
      </c>
      <c r="E2370" s="7">
        <v>45769.0</v>
      </c>
      <c r="F2370" s="7">
        <v>45769.0</v>
      </c>
    </row>
    <row r="2371">
      <c r="A2371" s="4" t="s">
        <v>4743</v>
      </c>
      <c r="B2371" s="5" t="s">
        <v>4744</v>
      </c>
      <c r="C2371" s="6"/>
      <c r="D2371" s="7">
        <v>45523.0</v>
      </c>
      <c r="E2371" s="7">
        <v>45772.0</v>
      </c>
      <c r="F2371" s="7">
        <v>45772.0</v>
      </c>
    </row>
    <row r="2372">
      <c r="A2372" s="4" t="s">
        <v>4745</v>
      </c>
      <c r="B2372" s="5" t="s">
        <v>4746</v>
      </c>
      <c r="C2372" s="6"/>
      <c r="D2372" s="7">
        <v>45524.0</v>
      </c>
      <c r="E2372" s="7">
        <v>45770.0</v>
      </c>
      <c r="F2372" s="7">
        <v>45770.0</v>
      </c>
    </row>
    <row r="2373">
      <c r="A2373" s="4" t="s">
        <v>4747</v>
      </c>
      <c r="B2373" s="5" t="s">
        <v>4748</v>
      </c>
      <c r="C2373" s="6"/>
      <c r="D2373" s="7">
        <v>45524.0</v>
      </c>
      <c r="E2373" s="7">
        <v>45771.0</v>
      </c>
      <c r="F2373" s="7">
        <v>45771.0</v>
      </c>
    </row>
    <row r="2374">
      <c r="A2374" s="4" t="s">
        <v>4749</v>
      </c>
      <c r="B2374" s="5" t="s">
        <v>4750</v>
      </c>
      <c r="C2374" s="6"/>
      <c r="D2374" s="7">
        <v>45524.0</v>
      </c>
      <c r="E2374" s="7">
        <v>45771.0</v>
      </c>
      <c r="F2374" s="7">
        <v>45771.0</v>
      </c>
    </row>
    <row r="2375">
      <c r="A2375" s="4" t="s">
        <v>4751</v>
      </c>
      <c r="B2375" s="5" t="s">
        <v>4752</v>
      </c>
      <c r="C2375" s="6"/>
      <c r="D2375" s="7">
        <v>45525.0</v>
      </c>
      <c r="E2375" s="7">
        <v>45769.0</v>
      </c>
      <c r="F2375" s="7">
        <v>45769.0</v>
      </c>
    </row>
    <row r="2376">
      <c r="A2376" s="4" t="s">
        <v>4753</v>
      </c>
      <c r="B2376" s="5" t="s">
        <v>4754</v>
      </c>
      <c r="C2376" s="6"/>
      <c r="D2376" s="7">
        <v>45525.0</v>
      </c>
      <c r="E2376" s="7">
        <v>45771.0</v>
      </c>
      <c r="F2376" s="7">
        <v>45771.0</v>
      </c>
    </row>
    <row r="2377">
      <c r="A2377" s="4" t="s">
        <v>4755</v>
      </c>
      <c r="B2377" s="5" t="s">
        <v>4756</v>
      </c>
      <c r="C2377" s="6"/>
      <c r="D2377" s="7">
        <v>45526.0</v>
      </c>
      <c r="E2377" s="7">
        <v>45764.0</v>
      </c>
      <c r="F2377" s="7">
        <v>45764.0</v>
      </c>
    </row>
    <row r="2378">
      <c r="A2378" s="4" t="s">
        <v>4757</v>
      </c>
      <c r="B2378" s="5" t="s">
        <v>4758</v>
      </c>
      <c r="C2378" s="6"/>
      <c r="D2378" s="7">
        <v>45526.0</v>
      </c>
      <c r="E2378" s="7">
        <v>45771.0</v>
      </c>
      <c r="F2378" s="7">
        <v>45771.0</v>
      </c>
    </row>
    <row r="2379">
      <c r="A2379" s="4" t="s">
        <v>4759</v>
      </c>
      <c r="B2379" s="5" t="s">
        <v>4760</v>
      </c>
      <c r="C2379" s="6"/>
      <c r="D2379" s="7">
        <v>45527.0</v>
      </c>
      <c r="E2379" s="7">
        <v>45771.0</v>
      </c>
      <c r="F2379" s="7">
        <v>45771.0</v>
      </c>
    </row>
    <row r="2380">
      <c r="A2380" s="4" t="s">
        <v>4761</v>
      </c>
      <c r="B2380" s="5" t="s">
        <v>4762</v>
      </c>
      <c r="C2380" s="6"/>
      <c r="D2380" s="7">
        <v>45531.0</v>
      </c>
      <c r="E2380" s="7">
        <v>45771.0</v>
      </c>
      <c r="F2380" s="7">
        <v>45771.0</v>
      </c>
    </row>
    <row r="2381">
      <c r="A2381" s="4" t="s">
        <v>4763</v>
      </c>
      <c r="B2381" s="5" t="s">
        <v>4764</v>
      </c>
      <c r="C2381" s="6"/>
      <c r="D2381" s="7">
        <v>45531.0</v>
      </c>
      <c r="E2381" s="7">
        <v>45771.0</v>
      </c>
      <c r="F2381" s="7">
        <v>45771.0</v>
      </c>
    </row>
    <row r="2382">
      <c r="A2382" s="4" t="s">
        <v>4765</v>
      </c>
      <c r="B2382" s="5" t="s">
        <v>4766</v>
      </c>
      <c r="C2382" s="6"/>
      <c r="D2382" s="7">
        <v>45531.0</v>
      </c>
      <c r="E2382" s="7">
        <v>45771.0</v>
      </c>
      <c r="F2382" s="7">
        <v>45771.0</v>
      </c>
    </row>
    <row r="2383">
      <c r="A2383" s="4" t="s">
        <v>4767</v>
      </c>
      <c r="B2383" s="5" t="s">
        <v>4768</v>
      </c>
      <c r="C2383" s="6"/>
      <c r="D2383" s="7">
        <v>45532.0</v>
      </c>
      <c r="E2383" s="7">
        <v>45769.0</v>
      </c>
      <c r="F2383" s="7">
        <v>45769.0</v>
      </c>
    </row>
    <row r="2384">
      <c r="A2384" s="4" t="s">
        <v>4769</v>
      </c>
      <c r="B2384" s="5" t="s">
        <v>4770</v>
      </c>
      <c r="C2384" s="6"/>
      <c r="D2384" s="7">
        <v>45532.0</v>
      </c>
      <c r="E2384" s="7">
        <v>45770.0</v>
      </c>
      <c r="F2384" s="7">
        <v>45770.0</v>
      </c>
    </row>
    <row r="2385">
      <c r="A2385" s="4" t="s">
        <v>4771</v>
      </c>
      <c r="B2385" s="5" t="s">
        <v>4772</v>
      </c>
      <c r="C2385" s="6"/>
      <c r="D2385" s="7">
        <v>45532.0</v>
      </c>
      <c r="E2385" s="7">
        <v>45770.0</v>
      </c>
      <c r="F2385" s="7">
        <v>45770.0</v>
      </c>
    </row>
    <row r="2386">
      <c r="A2386" s="4" t="s">
        <v>4773</v>
      </c>
      <c r="B2386" s="5" t="s">
        <v>4774</v>
      </c>
      <c r="C2386" s="6"/>
      <c r="D2386" s="7">
        <v>45533.0</v>
      </c>
      <c r="E2386" s="7">
        <v>45770.0</v>
      </c>
      <c r="F2386" s="7">
        <v>45770.0</v>
      </c>
    </row>
    <row r="2387">
      <c r="A2387" s="4" t="s">
        <v>4775</v>
      </c>
      <c r="B2387" s="5" t="s">
        <v>4776</v>
      </c>
      <c r="C2387" s="6"/>
      <c r="D2387" s="7">
        <v>45534.0</v>
      </c>
      <c r="E2387" s="7">
        <v>45770.0</v>
      </c>
      <c r="F2387" s="7">
        <v>45770.0</v>
      </c>
    </row>
    <row r="2388">
      <c r="A2388" s="4" t="s">
        <v>4777</v>
      </c>
      <c r="B2388" s="5" t="s">
        <v>4778</v>
      </c>
      <c r="C2388" s="6"/>
      <c r="D2388" s="7">
        <v>45534.0</v>
      </c>
      <c r="E2388" s="7">
        <v>45777.0</v>
      </c>
      <c r="F2388" s="7">
        <v>45777.0</v>
      </c>
    </row>
    <row r="2389">
      <c r="A2389" s="4" t="s">
        <v>4779</v>
      </c>
      <c r="B2389" s="5" t="s">
        <v>4780</v>
      </c>
      <c r="C2389" s="6"/>
      <c r="D2389" s="7">
        <v>45538.0</v>
      </c>
      <c r="E2389" s="7">
        <v>45777.0</v>
      </c>
      <c r="F2389" s="7">
        <v>45777.0</v>
      </c>
    </row>
    <row r="2390">
      <c r="A2390" s="4" t="s">
        <v>4781</v>
      </c>
      <c r="B2390" s="5" t="s">
        <v>4782</v>
      </c>
      <c r="C2390" s="6"/>
      <c r="D2390" s="7">
        <v>45539.0</v>
      </c>
      <c r="E2390" s="7">
        <v>45777.0</v>
      </c>
      <c r="F2390" s="7">
        <v>45777.0</v>
      </c>
    </row>
    <row r="2391">
      <c r="A2391" s="4" t="s">
        <v>4783</v>
      </c>
      <c r="B2391" s="5" t="s">
        <v>4784</v>
      </c>
      <c r="C2391" s="6"/>
      <c r="D2391" s="7">
        <v>45539.0</v>
      </c>
      <c r="E2391" s="7">
        <v>45777.0</v>
      </c>
      <c r="F2391" s="7">
        <v>45777.0</v>
      </c>
    </row>
    <row r="2392">
      <c r="A2392" s="4" t="s">
        <v>4785</v>
      </c>
      <c r="B2392" s="5" t="s">
        <v>4786</v>
      </c>
      <c r="C2392" s="6"/>
      <c r="D2392" s="7">
        <v>45539.0</v>
      </c>
      <c r="E2392" s="7">
        <v>45770.0</v>
      </c>
      <c r="F2392" s="7">
        <v>45770.0</v>
      </c>
    </row>
    <row r="2393">
      <c r="A2393" s="4" t="s">
        <v>4787</v>
      </c>
      <c r="B2393" s="5" t="s">
        <v>4788</v>
      </c>
      <c r="C2393" s="6"/>
      <c r="D2393" s="7">
        <v>45539.0</v>
      </c>
      <c r="E2393" s="7">
        <v>45777.0</v>
      </c>
      <c r="F2393" s="7">
        <v>45777.0</v>
      </c>
    </row>
    <row r="2394">
      <c r="A2394" s="4" t="s">
        <v>4789</v>
      </c>
      <c r="B2394" s="5" t="s">
        <v>4790</v>
      </c>
      <c r="C2394" s="6"/>
      <c r="D2394" s="7">
        <v>45539.0</v>
      </c>
      <c r="E2394" s="7">
        <v>45770.0</v>
      </c>
      <c r="F2394" s="7">
        <v>45770.0</v>
      </c>
    </row>
    <row r="2395">
      <c r="A2395" s="4" t="s">
        <v>4791</v>
      </c>
      <c r="B2395" s="5" t="s">
        <v>4792</v>
      </c>
      <c r="C2395" s="6"/>
      <c r="D2395" s="7">
        <v>45540.0</v>
      </c>
      <c r="E2395" s="7">
        <v>45770.0</v>
      </c>
      <c r="F2395" s="7">
        <v>45770.0</v>
      </c>
    </row>
    <row r="2396">
      <c r="A2396" s="4" t="s">
        <v>4793</v>
      </c>
      <c r="B2396" s="5" t="s">
        <v>4794</v>
      </c>
      <c r="C2396" s="6"/>
      <c r="D2396" s="7">
        <v>45540.0</v>
      </c>
      <c r="E2396" s="7">
        <v>45798.0</v>
      </c>
      <c r="F2396" s="7">
        <v>45798.0</v>
      </c>
    </row>
    <row r="2397">
      <c r="A2397" s="4" t="s">
        <v>4795</v>
      </c>
      <c r="B2397" s="5" t="s">
        <v>4796</v>
      </c>
      <c r="C2397" s="6"/>
      <c r="D2397" s="7">
        <v>45540.0</v>
      </c>
      <c r="E2397" s="7">
        <v>45777.0</v>
      </c>
      <c r="F2397" s="7">
        <v>45777.0</v>
      </c>
    </row>
    <row r="2398">
      <c r="A2398" s="4" t="s">
        <v>4797</v>
      </c>
      <c r="B2398" s="5" t="s">
        <v>4798</v>
      </c>
      <c r="C2398" s="6"/>
      <c r="D2398" s="7">
        <v>45544.0</v>
      </c>
      <c r="E2398" s="7">
        <v>45777.0</v>
      </c>
      <c r="F2398" s="7">
        <v>45777.0</v>
      </c>
    </row>
    <row r="2399">
      <c r="A2399" s="4" t="s">
        <v>4799</v>
      </c>
      <c r="B2399" s="5" t="s">
        <v>4800</v>
      </c>
      <c r="C2399" s="6"/>
      <c r="D2399" s="7">
        <v>45545.0</v>
      </c>
      <c r="E2399" s="7">
        <v>45770.0</v>
      </c>
      <c r="F2399" s="7">
        <v>45770.0</v>
      </c>
    </row>
    <row r="2400">
      <c r="A2400" s="4" t="s">
        <v>4801</v>
      </c>
      <c r="B2400" s="5" t="s">
        <v>4802</v>
      </c>
      <c r="C2400" s="6"/>
      <c r="D2400" s="7">
        <v>45545.0</v>
      </c>
      <c r="E2400" s="7">
        <v>45777.0</v>
      </c>
      <c r="F2400" s="7">
        <v>45777.0</v>
      </c>
    </row>
    <row r="2401">
      <c r="A2401" s="4" t="s">
        <v>4803</v>
      </c>
      <c r="B2401" s="5" t="s">
        <v>4804</v>
      </c>
      <c r="C2401" s="6"/>
      <c r="D2401" s="7">
        <v>45545.0</v>
      </c>
      <c r="E2401" s="7">
        <v>45771.0</v>
      </c>
      <c r="F2401" s="7">
        <v>45771.0</v>
      </c>
    </row>
    <row r="2402">
      <c r="A2402" s="4" t="s">
        <v>4805</v>
      </c>
      <c r="B2402" s="5" t="s">
        <v>4806</v>
      </c>
      <c r="C2402" s="6"/>
      <c r="D2402" s="7">
        <v>45545.0</v>
      </c>
      <c r="E2402" s="7">
        <v>45770.0</v>
      </c>
      <c r="F2402" s="7">
        <v>45770.0</v>
      </c>
    </row>
    <row r="2403">
      <c r="A2403" s="4" t="s">
        <v>4807</v>
      </c>
      <c r="B2403" s="5" t="s">
        <v>4808</v>
      </c>
      <c r="C2403" s="6"/>
      <c r="D2403" s="7">
        <v>45545.0</v>
      </c>
      <c r="E2403" s="7">
        <v>45777.0</v>
      </c>
      <c r="F2403" s="7">
        <v>45777.0</v>
      </c>
    </row>
    <row r="2404">
      <c r="A2404" s="4" t="s">
        <v>4809</v>
      </c>
      <c r="B2404" s="5" t="s">
        <v>4810</v>
      </c>
      <c r="C2404" s="6"/>
      <c r="D2404" s="7">
        <v>45546.0</v>
      </c>
      <c r="E2404" s="7">
        <v>45770.0</v>
      </c>
      <c r="F2404" s="7">
        <v>45770.0</v>
      </c>
    </row>
    <row r="2405">
      <c r="A2405" s="4" t="s">
        <v>4811</v>
      </c>
      <c r="B2405" s="5" t="s">
        <v>4812</v>
      </c>
      <c r="C2405" s="6"/>
      <c r="D2405" s="7">
        <v>45546.0</v>
      </c>
      <c r="E2405" s="7">
        <v>45770.0</v>
      </c>
      <c r="F2405" s="7">
        <v>45770.0</v>
      </c>
    </row>
    <row r="2406">
      <c r="A2406" s="4" t="s">
        <v>4813</v>
      </c>
      <c r="B2406" s="5" t="s">
        <v>4814</v>
      </c>
      <c r="C2406" s="6"/>
      <c r="D2406" s="7">
        <v>45546.0</v>
      </c>
      <c r="E2406" s="7">
        <v>45800.0</v>
      </c>
      <c r="F2406" s="7">
        <v>45800.0</v>
      </c>
    </row>
    <row r="2407">
      <c r="A2407" s="4" t="s">
        <v>4815</v>
      </c>
      <c r="B2407" s="5" t="s">
        <v>4816</v>
      </c>
      <c r="C2407" s="6"/>
      <c r="D2407" s="7">
        <v>45547.0</v>
      </c>
      <c r="E2407" s="7">
        <v>45406.0</v>
      </c>
      <c r="F2407" s="7">
        <v>45406.0</v>
      </c>
    </row>
    <row r="2408">
      <c r="A2408" s="4" t="s">
        <v>4817</v>
      </c>
      <c r="B2408" s="5" t="s">
        <v>4818</v>
      </c>
      <c r="C2408" s="6"/>
      <c r="D2408" s="7">
        <v>45547.0</v>
      </c>
      <c r="E2408" s="7">
        <v>45769.0</v>
      </c>
      <c r="F2408" s="7">
        <v>45769.0</v>
      </c>
    </row>
    <row r="2409">
      <c r="A2409" s="4" t="s">
        <v>4819</v>
      </c>
      <c r="B2409" s="5" t="s">
        <v>4820</v>
      </c>
      <c r="C2409" s="6"/>
      <c r="D2409" s="7">
        <v>45547.0</v>
      </c>
      <c r="E2409" s="7">
        <v>45798.0</v>
      </c>
      <c r="F2409" s="7">
        <v>45798.0</v>
      </c>
    </row>
    <row r="2410">
      <c r="A2410" s="4" t="s">
        <v>4821</v>
      </c>
      <c r="B2410" s="5" t="s">
        <v>4822</v>
      </c>
      <c r="C2410" s="6"/>
      <c r="D2410" s="7">
        <v>45547.0</v>
      </c>
      <c r="E2410" s="7">
        <v>45771.0</v>
      </c>
      <c r="F2410" s="7">
        <v>45771.0</v>
      </c>
    </row>
    <row r="2411">
      <c r="A2411" s="4" t="s">
        <v>4823</v>
      </c>
      <c r="B2411" s="5" t="s">
        <v>4824</v>
      </c>
      <c r="C2411" s="6"/>
      <c r="D2411" s="7">
        <v>45551.0</v>
      </c>
      <c r="E2411" s="7">
        <v>45770.0</v>
      </c>
      <c r="F2411" s="7">
        <v>45770.0</v>
      </c>
    </row>
    <row r="2412">
      <c r="A2412" s="4" t="s">
        <v>4825</v>
      </c>
      <c r="B2412" s="5" t="s">
        <v>4826</v>
      </c>
      <c r="C2412" s="6"/>
      <c r="D2412" s="7">
        <v>45551.0</v>
      </c>
      <c r="E2412" s="7">
        <v>45777.0</v>
      </c>
      <c r="F2412" s="7">
        <v>45777.0</v>
      </c>
    </row>
    <row r="2413">
      <c r="A2413" s="4" t="s">
        <v>4827</v>
      </c>
      <c r="B2413" s="5" t="s">
        <v>4828</v>
      </c>
      <c r="C2413" s="6"/>
      <c r="D2413" s="7">
        <v>45552.0</v>
      </c>
      <c r="E2413" s="7">
        <v>45771.0</v>
      </c>
      <c r="F2413" s="7">
        <v>45771.0</v>
      </c>
    </row>
    <row r="2414">
      <c r="A2414" s="4" t="s">
        <v>4829</v>
      </c>
      <c r="B2414" s="5" t="s">
        <v>4830</v>
      </c>
      <c r="C2414" s="6"/>
      <c r="D2414" s="7">
        <v>45552.0</v>
      </c>
      <c r="E2414" s="7">
        <v>45770.0</v>
      </c>
      <c r="F2414" s="7">
        <v>45770.0</v>
      </c>
    </row>
    <row r="2415">
      <c r="A2415" s="4" t="s">
        <v>4831</v>
      </c>
      <c r="B2415" s="5" t="s">
        <v>4832</v>
      </c>
      <c r="C2415" s="6"/>
      <c r="D2415" s="7">
        <v>45552.0</v>
      </c>
      <c r="E2415" s="7">
        <v>45771.0</v>
      </c>
      <c r="F2415" s="7">
        <v>45771.0</v>
      </c>
    </row>
    <row r="2416">
      <c r="A2416" s="4" t="s">
        <v>4833</v>
      </c>
      <c r="B2416" s="5" t="s">
        <v>4834</v>
      </c>
      <c r="C2416" s="6"/>
      <c r="D2416" s="7">
        <v>45552.0</v>
      </c>
      <c r="E2416" s="7">
        <v>45770.0</v>
      </c>
      <c r="F2416" s="7">
        <v>45770.0</v>
      </c>
    </row>
    <row r="2417">
      <c r="A2417" s="4" t="s">
        <v>4835</v>
      </c>
      <c r="B2417" s="5" t="s">
        <v>4836</v>
      </c>
      <c r="C2417" s="6"/>
      <c r="D2417" s="7">
        <v>45553.0</v>
      </c>
      <c r="E2417" s="7">
        <v>45770.0</v>
      </c>
      <c r="F2417" s="7">
        <v>45770.0</v>
      </c>
    </row>
    <row r="2418">
      <c r="A2418" s="4" t="s">
        <v>4837</v>
      </c>
      <c r="B2418" s="5" t="s">
        <v>4838</v>
      </c>
      <c r="C2418" s="6"/>
      <c r="D2418" s="7">
        <v>45553.0</v>
      </c>
      <c r="E2418" s="7">
        <v>45770.0</v>
      </c>
      <c r="F2418" s="7">
        <v>45770.0</v>
      </c>
    </row>
    <row r="2419">
      <c r="A2419" s="4" t="s">
        <v>4839</v>
      </c>
      <c r="B2419" s="5" t="s">
        <v>4840</v>
      </c>
      <c r="C2419" s="6"/>
      <c r="D2419" s="7">
        <v>45553.0</v>
      </c>
      <c r="E2419" s="7">
        <v>45777.0</v>
      </c>
      <c r="F2419" s="7">
        <v>45777.0</v>
      </c>
    </row>
    <row r="2420">
      <c r="A2420" s="4" t="s">
        <v>4841</v>
      </c>
      <c r="B2420" s="5" t="s">
        <v>4842</v>
      </c>
      <c r="C2420" s="6"/>
      <c r="D2420" s="7">
        <v>45553.0</v>
      </c>
      <c r="E2420" s="7">
        <v>45770.0</v>
      </c>
      <c r="F2420" s="7">
        <v>45770.0</v>
      </c>
    </row>
    <row r="2421">
      <c r="A2421" s="4" t="s">
        <v>4843</v>
      </c>
      <c r="B2421" s="5" t="s">
        <v>4844</v>
      </c>
      <c r="C2421" s="6"/>
      <c r="D2421" s="7">
        <v>45553.0</v>
      </c>
      <c r="E2421" s="7">
        <v>45770.0</v>
      </c>
      <c r="F2421" s="7">
        <v>45770.0</v>
      </c>
    </row>
    <row r="2422">
      <c r="A2422" s="4" t="s">
        <v>4845</v>
      </c>
      <c r="B2422" s="5" t="s">
        <v>4846</v>
      </c>
      <c r="C2422" s="6"/>
      <c r="D2422" s="7">
        <v>45554.0</v>
      </c>
      <c r="E2422" s="7">
        <v>45777.0</v>
      </c>
      <c r="F2422" s="7">
        <v>45777.0</v>
      </c>
    </row>
    <row r="2423">
      <c r="A2423" s="4" t="s">
        <v>4847</v>
      </c>
      <c r="B2423" s="5" t="s">
        <v>4848</v>
      </c>
      <c r="C2423" s="6"/>
      <c r="D2423" s="7">
        <v>45555.0</v>
      </c>
      <c r="E2423" s="7">
        <v>45770.0</v>
      </c>
      <c r="F2423" s="7">
        <v>45770.0</v>
      </c>
    </row>
    <row r="2424">
      <c r="A2424" s="4" t="s">
        <v>4849</v>
      </c>
      <c r="B2424" s="5" t="s">
        <v>4850</v>
      </c>
      <c r="C2424" s="6"/>
      <c r="D2424" s="7">
        <v>45555.0</v>
      </c>
      <c r="E2424" s="7">
        <v>45777.0</v>
      </c>
      <c r="F2424" s="7">
        <v>45777.0</v>
      </c>
    </row>
    <row r="2425">
      <c r="A2425" s="4" t="s">
        <v>4851</v>
      </c>
      <c r="B2425" s="5" t="s">
        <v>4852</v>
      </c>
      <c r="C2425" s="6"/>
      <c r="D2425" s="7">
        <v>45558.0</v>
      </c>
      <c r="E2425" s="7">
        <v>45777.0</v>
      </c>
      <c r="F2425" s="7">
        <v>45777.0</v>
      </c>
    </row>
    <row r="2426">
      <c r="A2426" s="4" t="s">
        <v>4853</v>
      </c>
      <c r="B2426" s="5" t="s">
        <v>4854</v>
      </c>
      <c r="C2426" s="6"/>
      <c r="D2426" s="7">
        <v>45559.0</v>
      </c>
      <c r="E2426" s="7">
        <v>45770.0</v>
      </c>
      <c r="F2426" s="7">
        <v>45770.0</v>
      </c>
    </row>
    <row r="2427">
      <c r="A2427" s="4" t="s">
        <v>4855</v>
      </c>
      <c r="B2427" s="5" t="s">
        <v>4856</v>
      </c>
      <c r="C2427" s="6"/>
      <c r="D2427" s="7">
        <v>45559.0</v>
      </c>
      <c r="E2427" s="7">
        <v>45776.0</v>
      </c>
      <c r="F2427" s="7">
        <v>45776.0</v>
      </c>
    </row>
    <row r="2428">
      <c r="A2428" s="4" t="s">
        <v>4857</v>
      </c>
      <c r="B2428" s="5" t="s">
        <v>4858</v>
      </c>
      <c r="C2428" s="6"/>
      <c r="D2428" s="7">
        <v>45560.0</v>
      </c>
      <c r="E2428" s="7">
        <v>45776.0</v>
      </c>
      <c r="F2428" s="7">
        <v>45776.0</v>
      </c>
    </row>
    <row r="2429">
      <c r="A2429" s="4" t="s">
        <v>4859</v>
      </c>
      <c r="B2429" s="5" t="s">
        <v>4860</v>
      </c>
      <c r="C2429" s="6"/>
      <c r="D2429" s="7">
        <v>45560.0</v>
      </c>
      <c r="E2429" s="7">
        <v>45769.0</v>
      </c>
      <c r="F2429" s="7">
        <v>45769.0</v>
      </c>
    </row>
    <row r="2430">
      <c r="A2430" s="4" t="s">
        <v>4861</v>
      </c>
      <c r="B2430" s="5" t="s">
        <v>4862</v>
      </c>
      <c r="C2430" s="6"/>
      <c r="D2430" s="7">
        <v>45560.0</v>
      </c>
      <c r="E2430" s="7">
        <v>45769.0</v>
      </c>
      <c r="F2430" s="7">
        <v>45769.0</v>
      </c>
    </row>
    <row r="2431">
      <c r="A2431" s="4" t="s">
        <v>4863</v>
      </c>
      <c r="B2431" s="5" t="s">
        <v>4864</v>
      </c>
      <c r="C2431" s="6"/>
      <c r="D2431" s="7">
        <v>45561.0</v>
      </c>
      <c r="E2431" s="7">
        <v>45783.0</v>
      </c>
      <c r="F2431" s="7">
        <v>45783.0</v>
      </c>
    </row>
    <row r="2432">
      <c r="A2432" s="4" t="s">
        <v>4865</v>
      </c>
      <c r="B2432" s="5" t="s">
        <v>4866</v>
      </c>
      <c r="C2432" s="6"/>
      <c r="D2432" s="7">
        <v>45561.0</v>
      </c>
      <c r="E2432" s="7">
        <v>45769.0</v>
      </c>
      <c r="F2432" s="7">
        <v>45769.0</v>
      </c>
    </row>
    <row r="2433">
      <c r="A2433" s="4" t="s">
        <v>4867</v>
      </c>
      <c r="B2433" s="5" t="s">
        <v>4868</v>
      </c>
      <c r="C2433" s="6"/>
      <c r="D2433" s="7">
        <v>45561.0</v>
      </c>
      <c r="E2433" s="7">
        <v>45769.0</v>
      </c>
      <c r="F2433" s="7">
        <v>45769.0</v>
      </c>
    </row>
    <row r="2434">
      <c r="A2434" s="4" t="s">
        <v>4869</v>
      </c>
      <c r="B2434" s="5" t="s">
        <v>4870</v>
      </c>
      <c r="C2434" s="6"/>
      <c r="D2434" s="7">
        <v>45562.0</v>
      </c>
      <c r="E2434" s="7">
        <v>45776.0</v>
      </c>
      <c r="F2434" s="7">
        <v>45776.0</v>
      </c>
    </row>
    <row r="2435">
      <c r="A2435" s="4" t="s">
        <v>4871</v>
      </c>
      <c r="B2435" s="5" t="s">
        <v>4872</v>
      </c>
      <c r="C2435" s="6"/>
      <c r="D2435" s="7">
        <v>45566.0</v>
      </c>
      <c r="E2435" s="7">
        <v>45776.0</v>
      </c>
      <c r="F2435" s="7">
        <v>45776.0</v>
      </c>
    </row>
    <row r="2436">
      <c r="A2436" s="4" t="s">
        <v>4873</v>
      </c>
      <c r="B2436" s="5" t="s">
        <v>4874</v>
      </c>
      <c r="C2436" s="6"/>
      <c r="D2436" s="7">
        <v>45567.0</v>
      </c>
      <c r="E2436" s="7">
        <v>45769.0</v>
      </c>
      <c r="F2436" s="7">
        <v>45769.0</v>
      </c>
    </row>
    <row r="2437">
      <c r="A2437" s="4" t="s">
        <v>4875</v>
      </c>
      <c r="B2437" s="5" t="s">
        <v>4876</v>
      </c>
      <c r="C2437" s="6"/>
      <c r="D2437" s="7">
        <v>45568.0</v>
      </c>
      <c r="E2437" s="7">
        <v>45771.0</v>
      </c>
      <c r="F2437" s="7">
        <v>45771.0</v>
      </c>
    </row>
    <row r="2438">
      <c r="A2438" s="4" t="s">
        <v>4877</v>
      </c>
      <c r="B2438" s="5" t="s">
        <v>4878</v>
      </c>
      <c r="C2438" s="6"/>
      <c r="D2438" s="7">
        <v>45568.0</v>
      </c>
      <c r="E2438" s="7">
        <v>45762.0</v>
      </c>
      <c r="F2438" s="7">
        <v>45762.0</v>
      </c>
    </row>
    <row r="2439">
      <c r="A2439" s="4" t="s">
        <v>4879</v>
      </c>
      <c r="B2439" s="5" t="s">
        <v>4880</v>
      </c>
      <c r="C2439" s="6"/>
      <c r="D2439" s="7">
        <v>45568.0</v>
      </c>
      <c r="E2439" s="7">
        <v>45776.0</v>
      </c>
      <c r="F2439" s="7">
        <v>45776.0</v>
      </c>
    </row>
    <row r="2440">
      <c r="A2440" s="4" t="s">
        <v>4881</v>
      </c>
      <c r="B2440" s="5" t="s">
        <v>4882</v>
      </c>
      <c r="C2440" s="6"/>
      <c r="D2440" s="7">
        <v>45569.0</v>
      </c>
      <c r="E2440" s="7">
        <v>45769.0</v>
      </c>
      <c r="F2440" s="7">
        <v>45769.0</v>
      </c>
    </row>
    <row r="2441">
      <c r="A2441" s="4" t="s">
        <v>4883</v>
      </c>
      <c r="B2441" s="5" t="s">
        <v>4884</v>
      </c>
      <c r="C2441" s="6"/>
      <c r="D2441" s="7">
        <v>45569.0</v>
      </c>
      <c r="E2441" s="7">
        <v>45769.0</v>
      </c>
      <c r="F2441" s="7">
        <v>45769.0</v>
      </c>
    </row>
    <row r="2442">
      <c r="A2442" s="4" t="s">
        <v>4885</v>
      </c>
      <c r="B2442" s="5" t="s">
        <v>4886</v>
      </c>
      <c r="C2442" s="6"/>
      <c r="D2442" s="7">
        <v>45573.0</v>
      </c>
      <c r="E2442" s="7">
        <v>45776.0</v>
      </c>
      <c r="F2442" s="7">
        <v>45776.0</v>
      </c>
    </row>
    <row r="2443">
      <c r="A2443" s="4" t="s">
        <v>4887</v>
      </c>
      <c r="B2443" s="5" t="s">
        <v>4888</v>
      </c>
      <c r="C2443" s="6"/>
      <c r="D2443" s="8">
        <v>45209.0</v>
      </c>
      <c r="E2443" s="7">
        <v>45776.0</v>
      </c>
      <c r="F2443" s="7">
        <v>45776.0</v>
      </c>
    </row>
    <row r="2444">
      <c r="A2444" s="4" t="s">
        <v>4889</v>
      </c>
      <c r="B2444" s="5" t="s">
        <v>4890</v>
      </c>
      <c r="C2444" s="6"/>
      <c r="D2444" s="8">
        <v>45575.0</v>
      </c>
      <c r="E2444" s="7">
        <v>45770.0</v>
      </c>
      <c r="F2444" s="7">
        <v>45770.0</v>
      </c>
    </row>
    <row r="2445">
      <c r="A2445" s="4" t="s">
        <v>4891</v>
      </c>
      <c r="B2445" s="5" t="s">
        <v>4892</v>
      </c>
      <c r="C2445" s="6"/>
      <c r="D2445" s="8">
        <v>45579.0</v>
      </c>
      <c r="E2445" s="7">
        <v>45784.0</v>
      </c>
      <c r="F2445" s="7">
        <v>45784.0</v>
      </c>
    </row>
    <row r="2446">
      <c r="A2446" s="4" t="s">
        <v>4893</v>
      </c>
      <c r="B2446" s="5" t="s">
        <v>4894</v>
      </c>
      <c r="C2446" s="6"/>
      <c r="D2446" s="8">
        <v>45581.0</v>
      </c>
      <c r="E2446" s="7">
        <v>45770.0</v>
      </c>
      <c r="F2446" s="7">
        <v>45770.0</v>
      </c>
    </row>
    <row r="2447">
      <c r="A2447" s="4" t="s">
        <v>4895</v>
      </c>
      <c r="B2447" s="5" t="s">
        <v>4896</v>
      </c>
      <c r="C2447" s="6"/>
      <c r="D2447" s="8">
        <v>45582.0</v>
      </c>
      <c r="E2447" s="7">
        <v>45769.0</v>
      </c>
      <c r="F2447" s="7">
        <v>45769.0</v>
      </c>
    </row>
    <row r="2448">
      <c r="A2448" s="4" t="s">
        <v>4897</v>
      </c>
      <c r="B2448" s="5" t="s">
        <v>4898</v>
      </c>
      <c r="C2448" s="6"/>
      <c r="D2448" s="8">
        <v>45582.0</v>
      </c>
      <c r="E2448" s="7">
        <v>45769.0</v>
      </c>
      <c r="F2448" s="7">
        <v>45769.0</v>
      </c>
    </row>
    <row r="2449">
      <c r="A2449" s="4" t="s">
        <v>4899</v>
      </c>
      <c r="B2449" s="5" t="s">
        <v>4900</v>
      </c>
      <c r="C2449" s="6"/>
      <c r="D2449" s="8">
        <v>45582.0</v>
      </c>
      <c r="E2449" s="7">
        <v>45769.0</v>
      </c>
      <c r="F2449" s="7">
        <v>45769.0</v>
      </c>
    </row>
    <row r="2450">
      <c r="A2450" s="4" t="s">
        <v>4901</v>
      </c>
      <c r="B2450" s="5" t="s">
        <v>4902</v>
      </c>
      <c r="C2450" s="6"/>
      <c r="D2450" s="8">
        <v>45218.0</v>
      </c>
      <c r="E2450" s="7">
        <v>45405.0</v>
      </c>
      <c r="F2450" s="7">
        <v>45405.0</v>
      </c>
    </row>
    <row r="2451">
      <c r="A2451" s="4" t="s">
        <v>4903</v>
      </c>
      <c r="B2451" s="5" t="s">
        <v>4904</v>
      </c>
      <c r="C2451" s="6"/>
      <c r="D2451" s="8">
        <v>45586.0</v>
      </c>
      <c r="E2451" s="7">
        <v>45777.0</v>
      </c>
      <c r="F2451" s="7">
        <v>45777.0</v>
      </c>
    </row>
    <row r="2452">
      <c r="A2452" s="4" t="s">
        <v>4905</v>
      </c>
      <c r="B2452" s="5" t="s">
        <v>4906</v>
      </c>
      <c r="C2452" s="6"/>
      <c r="D2452" s="8">
        <v>45586.0</v>
      </c>
      <c r="E2452" s="7">
        <v>45769.0</v>
      </c>
      <c r="F2452" s="7">
        <v>45769.0</v>
      </c>
    </row>
    <row r="2453">
      <c r="A2453" s="4" t="s">
        <v>4907</v>
      </c>
      <c r="B2453" s="5" t="s">
        <v>4908</v>
      </c>
      <c r="C2453" s="6"/>
      <c r="D2453" s="8">
        <v>45587.0</v>
      </c>
      <c r="E2453" s="7">
        <v>45770.0</v>
      </c>
      <c r="F2453" s="7">
        <v>45770.0</v>
      </c>
    </row>
    <row r="2454">
      <c r="A2454" s="4" t="s">
        <v>4909</v>
      </c>
      <c r="B2454" s="5" t="s">
        <v>4910</v>
      </c>
      <c r="C2454" s="6"/>
      <c r="D2454" s="8">
        <v>45587.0</v>
      </c>
      <c r="E2454" s="7">
        <v>45769.0</v>
      </c>
      <c r="F2454" s="7">
        <v>45769.0</v>
      </c>
    </row>
    <row r="2455">
      <c r="A2455" s="4" t="s">
        <v>4911</v>
      </c>
      <c r="B2455" s="5" t="s">
        <v>4912</v>
      </c>
      <c r="C2455" s="6"/>
      <c r="D2455" s="8">
        <v>45587.0</v>
      </c>
      <c r="E2455" s="7">
        <v>45797.0</v>
      </c>
      <c r="F2455" s="7">
        <v>45797.0</v>
      </c>
    </row>
    <row r="2456">
      <c r="A2456" s="4" t="s">
        <v>4913</v>
      </c>
      <c r="B2456" s="5" t="s">
        <v>4914</v>
      </c>
      <c r="C2456" s="6"/>
      <c r="D2456" s="8">
        <v>45588.0</v>
      </c>
      <c r="E2456" s="7">
        <v>45769.0</v>
      </c>
      <c r="F2456" s="7">
        <v>45769.0</v>
      </c>
    </row>
    <row r="2457">
      <c r="A2457" s="4" t="s">
        <v>4915</v>
      </c>
      <c r="B2457" s="5" t="s">
        <v>4916</v>
      </c>
      <c r="C2457" s="6"/>
      <c r="D2457" s="8">
        <v>45588.0</v>
      </c>
      <c r="E2457" s="7">
        <v>45769.0</v>
      </c>
      <c r="F2457" s="7">
        <v>45769.0</v>
      </c>
    </row>
    <row r="2458">
      <c r="A2458" s="4" t="s">
        <v>4917</v>
      </c>
      <c r="B2458" s="5" t="s">
        <v>4918</v>
      </c>
      <c r="C2458" s="6"/>
      <c r="D2458" s="8">
        <v>45588.0</v>
      </c>
      <c r="E2458" s="7">
        <v>45769.0</v>
      </c>
      <c r="F2458" s="7">
        <v>45769.0</v>
      </c>
    </row>
    <row r="2459">
      <c r="A2459" s="4" t="s">
        <v>4919</v>
      </c>
      <c r="B2459" s="5" t="s">
        <v>4920</v>
      </c>
      <c r="C2459" s="6"/>
      <c r="D2459" s="8">
        <v>45588.0</v>
      </c>
      <c r="E2459" s="7">
        <v>45769.0</v>
      </c>
      <c r="F2459" s="7">
        <v>45769.0</v>
      </c>
    </row>
    <row r="2460">
      <c r="A2460" s="4" t="s">
        <v>4921</v>
      </c>
      <c r="B2460" s="5" t="s">
        <v>4922</v>
      </c>
      <c r="C2460" s="6"/>
      <c r="D2460" s="8">
        <v>45588.0</v>
      </c>
      <c r="E2460" s="7">
        <v>45776.0</v>
      </c>
      <c r="F2460" s="7">
        <v>45776.0</v>
      </c>
    </row>
    <row r="2461">
      <c r="A2461" s="4" t="s">
        <v>4923</v>
      </c>
      <c r="B2461" s="5" t="s">
        <v>4924</v>
      </c>
      <c r="C2461" s="6"/>
      <c r="D2461" s="8">
        <v>45589.0</v>
      </c>
      <c r="E2461" s="7">
        <v>45769.0</v>
      </c>
      <c r="F2461" s="7">
        <v>45769.0</v>
      </c>
    </row>
    <row r="2462">
      <c r="A2462" s="4" t="s">
        <v>4925</v>
      </c>
      <c r="B2462" s="5" t="s">
        <v>4926</v>
      </c>
      <c r="C2462" s="6"/>
      <c r="D2462" s="8">
        <v>45589.0</v>
      </c>
      <c r="E2462" s="7">
        <v>45769.0</v>
      </c>
      <c r="F2462" s="7">
        <v>45769.0</v>
      </c>
    </row>
    <row r="2463">
      <c r="A2463" s="4" t="s">
        <v>4927</v>
      </c>
      <c r="B2463" s="5" t="s">
        <v>4928</v>
      </c>
      <c r="C2463" s="6"/>
      <c r="D2463" s="8">
        <v>45589.0</v>
      </c>
      <c r="E2463" s="7">
        <v>45769.0</v>
      </c>
      <c r="F2463" s="7">
        <v>45769.0</v>
      </c>
    </row>
    <row r="2464">
      <c r="A2464" s="4" t="s">
        <v>4929</v>
      </c>
      <c r="B2464" s="5" t="s">
        <v>4930</v>
      </c>
      <c r="C2464" s="6"/>
      <c r="D2464" s="8">
        <v>45593.0</v>
      </c>
      <c r="E2464" s="7">
        <v>45768.0</v>
      </c>
      <c r="F2464" s="7">
        <v>45768.0</v>
      </c>
    </row>
    <row r="2465">
      <c r="A2465" s="4" t="s">
        <v>4931</v>
      </c>
      <c r="B2465" s="5" t="s">
        <v>4932</v>
      </c>
      <c r="C2465" s="6"/>
      <c r="D2465" s="8">
        <v>45594.0</v>
      </c>
      <c r="E2465" s="7">
        <v>45775.0</v>
      </c>
      <c r="F2465" s="7">
        <v>45775.0</v>
      </c>
    </row>
    <row r="2466">
      <c r="A2466" s="4" t="s">
        <v>4933</v>
      </c>
      <c r="B2466" s="5" t="s">
        <v>4934</v>
      </c>
      <c r="C2466" s="6"/>
      <c r="D2466" s="8">
        <v>45594.0</v>
      </c>
      <c r="E2466" s="7">
        <v>45776.0</v>
      </c>
      <c r="F2466" s="7">
        <v>45776.0</v>
      </c>
    </row>
    <row r="2467">
      <c r="A2467" s="4" t="s">
        <v>4935</v>
      </c>
      <c r="B2467" s="5" t="s">
        <v>4936</v>
      </c>
      <c r="C2467" s="6"/>
      <c r="D2467" s="8">
        <v>45594.0</v>
      </c>
      <c r="E2467" s="7">
        <v>45775.0</v>
      </c>
      <c r="F2467" s="7">
        <v>45775.0</v>
      </c>
    </row>
    <row r="2468">
      <c r="A2468" s="4" t="s">
        <v>4937</v>
      </c>
      <c r="B2468" s="5" t="s">
        <v>4938</v>
      </c>
      <c r="C2468" s="6"/>
      <c r="D2468" s="8">
        <v>45595.0</v>
      </c>
      <c r="E2468" s="7">
        <v>45775.0</v>
      </c>
      <c r="F2468" s="7">
        <v>45775.0</v>
      </c>
    </row>
    <row r="2469">
      <c r="A2469" s="4" t="s">
        <v>4939</v>
      </c>
      <c r="B2469" s="5" t="s">
        <v>4940</v>
      </c>
      <c r="C2469" s="6"/>
      <c r="D2469" s="8">
        <v>45596.0</v>
      </c>
      <c r="E2469" s="7">
        <v>45765.0</v>
      </c>
      <c r="F2469" s="7">
        <v>45765.0</v>
      </c>
    </row>
    <row r="2470">
      <c r="A2470" s="4" t="s">
        <v>4941</v>
      </c>
      <c r="B2470" s="5" t="s">
        <v>4942</v>
      </c>
      <c r="C2470" s="6"/>
      <c r="D2470" s="8">
        <v>45596.0</v>
      </c>
      <c r="E2470" s="7">
        <v>45771.0</v>
      </c>
      <c r="F2470" s="7">
        <v>45771.0</v>
      </c>
    </row>
    <row r="2471">
      <c r="A2471" s="4" t="s">
        <v>4943</v>
      </c>
      <c r="B2471" s="5" t="s">
        <v>4944</v>
      </c>
      <c r="C2471" s="6"/>
      <c r="D2471" s="7">
        <v>45601.0</v>
      </c>
      <c r="E2471" s="7">
        <v>45792.0</v>
      </c>
      <c r="F2471" s="7">
        <v>45792.0</v>
      </c>
    </row>
    <row r="2472">
      <c r="A2472" s="4" t="s">
        <v>4945</v>
      </c>
      <c r="B2472" s="5" t="s">
        <v>4946</v>
      </c>
      <c r="C2472" s="6"/>
      <c r="D2472" s="7">
        <v>45601.0</v>
      </c>
      <c r="E2472" s="7">
        <v>45765.0</v>
      </c>
      <c r="F2472" s="7">
        <v>45765.0</v>
      </c>
    </row>
    <row r="2473">
      <c r="A2473" s="4" t="s">
        <v>4947</v>
      </c>
      <c r="B2473" s="5" t="s">
        <v>4948</v>
      </c>
      <c r="C2473" s="6"/>
      <c r="D2473" s="7">
        <v>45601.0</v>
      </c>
      <c r="E2473" s="7">
        <v>45772.0</v>
      </c>
      <c r="F2473" s="7">
        <v>45772.0</v>
      </c>
    </row>
    <row r="2474">
      <c r="A2474" s="4" t="s">
        <v>4949</v>
      </c>
      <c r="B2474" s="5" t="s">
        <v>4950</v>
      </c>
      <c r="C2474" s="6"/>
      <c r="D2474" s="7">
        <v>45602.0</v>
      </c>
      <c r="E2474" s="7">
        <v>45779.0</v>
      </c>
      <c r="F2474" s="7">
        <v>45779.0</v>
      </c>
    </row>
    <row r="2475">
      <c r="A2475" s="4" t="s">
        <v>4951</v>
      </c>
      <c r="B2475" s="5" t="s">
        <v>4952</v>
      </c>
      <c r="C2475" s="6"/>
      <c r="D2475" s="7">
        <v>45602.0</v>
      </c>
      <c r="E2475" s="7">
        <v>45772.0</v>
      </c>
      <c r="F2475" s="7">
        <v>45772.0</v>
      </c>
    </row>
    <row r="2476">
      <c r="A2476" s="4" t="s">
        <v>4953</v>
      </c>
      <c r="B2476" s="5" t="s">
        <v>4954</v>
      </c>
      <c r="C2476" s="6"/>
      <c r="D2476" s="7">
        <v>45602.0</v>
      </c>
      <c r="E2476" s="7">
        <v>45756.0</v>
      </c>
      <c r="F2476" s="7">
        <v>45756.0</v>
      </c>
    </row>
    <row r="2477">
      <c r="A2477" s="4" t="s">
        <v>4955</v>
      </c>
      <c r="B2477" s="5" t="s">
        <v>4956</v>
      </c>
      <c r="C2477" s="6"/>
      <c r="D2477" s="7">
        <v>45602.0</v>
      </c>
      <c r="E2477" s="7">
        <v>45764.0</v>
      </c>
      <c r="F2477" s="7">
        <v>45764.0</v>
      </c>
    </row>
    <row r="2478">
      <c r="A2478" s="4" t="s">
        <v>4957</v>
      </c>
      <c r="B2478" s="5" t="s">
        <v>4958</v>
      </c>
      <c r="C2478" s="6"/>
      <c r="D2478" s="7">
        <v>45602.0</v>
      </c>
      <c r="E2478" s="7">
        <v>45764.0</v>
      </c>
      <c r="F2478" s="7">
        <v>45764.0</v>
      </c>
    </row>
    <row r="2479">
      <c r="A2479" s="4" t="s">
        <v>4959</v>
      </c>
      <c r="B2479" s="5" t="s">
        <v>4960</v>
      </c>
      <c r="C2479" s="6"/>
      <c r="D2479" s="7">
        <v>45602.0</v>
      </c>
      <c r="E2479" s="7">
        <v>45764.0</v>
      </c>
      <c r="F2479" s="7">
        <v>45764.0</v>
      </c>
    </row>
    <row r="2480">
      <c r="A2480" s="4" t="s">
        <v>4961</v>
      </c>
      <c r="B2480" s="5" t="s">
        <v>4962</v>
      </c>
      <c r="C2480" s="6"/>
      <c r="D2480" s="7">
        <v>45602.0</v>
      </c>
      <c r="E2480" s="7">
        <v>45783.0</v>
      </c>
      <c r="F2480" s="7">
        <v>45783.0</v>
      </c>
    </row>
    <row r="2481">
      <c r="A2481" s="4" t="s">
        <v>4963</v>
      </c>
      <c r="B2481" s="5" t="s">
        <v>4964</v>
      </c>
      <c r="C2481" s="6"/>
      <c r="D2481" s="7">
        <v>45602.0</v>
      </c>
      <c r="E2481" s="7">
        <v>45762.0</v>
      </c>
      <c r="F2481" s="7">
        <v>45762.0</v>
      </c>
    </row>
    <row r="2482">
      <c r="A2482" s="4" t="s">
        <v>4965</v>
      </c>
      <c r="B2482" s="5" t="s">
        <v>4966</v>
      </c>
      <c r="C2482" s="6"/>
      <c r="D2482" s="7">
        <v>45602.0</v>
      </c>
      <c r="E2482" s="7">
        <v>45764.0</v>
      </c>
      <c r="F2482" s="7">
        <v>45764.0</v>
      </c>
    </row>
    <row r="2483">
      <c r="A2483" s="4" t="s">
        <v>4967</v>
      </c>
      <c r="B2483" s="5" t="s">
        <v>4968</v>
      </c>
      <c r="C2483" s="6"/>
      <c r="D2483" s="7">
        <v>45603.0</v>
      </c>
      <c r="E2483" s="7">
        <v>45764.0</v>
      </c>
      <c r="F2483" s="7">
        <v>45764.0</v>
      </c>
    </row>
    <row r="2484">
      <c r="A2484" s="4" t="s">
        <v>4969</v>
      </c>
      <c r="B2484" s="5" t="s">
        <v>4970</v>
      </c>
      <c r="C2484" s="6"/>
      <c r="D2484" s="7">
        <v>45603.0</v>
      </c>
      <c r="E2484" s="7">
        <v>45771.0</v>
      </c>
      <c r="F2484" s="7">
        <v>45771.0</v>
      </c>
    </row>
    <row r="2485">
      <c r="A2485" s="4" t="s">
        <v>4971</v>
      </c>
      <c r="B2485" s="5" t="s">
        <v>4972</v>
      </c>
      <c r="C2485" s="6"/>
      <c r="D2485" s="7">
        <v>45603.0</v>
      </c>
      <c r="E2485" s="7">
        <v>45764.0</v>
      </c>
      <c r="F2485" s="7">
        <v>45764.0</v>
      </c>
    </row>
    <row r="2486">
      <c r="A2486" s="4" t="s">
        <v>4973</v>
      </c>
      <c r="B2486" s="5" t="s">
        <v>4974</v>
      </c>
      <c r="C2486" s="6"/>
      <c r="D2486" s="7">
        <v>45238.0</v>
      </c>
      <c r="E2486" s="7">
        <v>45771.0</v>
      </c>
      <c r="F2486" s="7">
        <v>45771.0</v>
      </c>
    </row>
    <row r="2487">
      <c r="A2487" s="4" t="s">
        <v>4975</v>
      </c>
      <c r="B2487" s="5" t="s">
        <v>4976</v>
      </c>
      <c r="C2487" s="6"/>
      <c r="D2487" s="7">
        <v>45604.0</v>
      </c>
      <c r="E2487" s="7">
        <v>45764.0</v>
      </c>
      <c r="F2487" s="7">
        <v>45764.0</v>
      </c>
    </row>
    <row r="2488">
      <c r="A2488" s="4" t="s">
        <v>4977</v>
      </c>
      <c r="B2488" s="5" t="s">
        <v>4978</v>
      </c>
      <c r="C2488" s="6"/>
      <c r="D2488" s="7">
        <v>45604.0</v>
      </c>
      <c r="E2488" s="7">
        <v>45771.0</v>
      </c>
      <c r="F2488" s="7">
        <v>45771.0</v>
      </c>
    </row>
    <row r="2489">
      <c r="A2489" s="4" t="s">
        <v>4979</v>
      </c>
      <c r="B2489" s="5" t="s">
        <v>4980</v>
      </c>
      <c r="C2489" s="6"/>
      <c r="D2489" s="8">
        <v>45608.0</v>
      </c>
      <c r="E2489" s="7">
        <v>45764.0</v>
      </c>
      <c r="F2489" s="7">
        <v>45764.0</v>
      </c>
    </row>
    <row r="2490">
      <c r="A2490" s="4" t="s">
        <v>4981</v>
      </c>
      <c r="B2490" s="5" t="s">
        <v>4982</v>
      </c>
      <c r="C2490" s="6"/>
      <c r="D2490" s="8">
        <v>45608.0</v>
      </c>
      <c r="E2490" s="7">
        <v>45764.0</v>
      </c>
      <c r="F2490" s="7">
        <v>45764.0</v>
      </c>
    </row>
    <row r="2491">
      <c r="A2491" s="4" t="s">
        <v>4983</v>
      </c>
      <c r="B2491" s="5" t="s">
        <v>4984</v>
      </c>
      <c r="C2491" s="6"/>
      <c r="D2491" s="8">
        <v>45608.0</v>
      </c>
      <c r="E2491" s="7">
        <v>45763.0</v>
      </c>
      <c r="F2491" s="7">
        <v>45763.0</v>
      </c>
    </row>
    <row r="2492">
      <c r="A2492" s="4" t="s">
        <v>4985</v>
      </c>
      <c r="B2492" s="5" t="s">
        <v>4986</v>
      </c>
      <c r="C2492" s="6"/>
      <c r="D2492" s="8">
        <v>45609.0</v>
      </c>
      <c r="E2492" s="7">
        <v>45763.0</v>
      </c>
      <c r="F2492" s="7">
        <v>45763.0</v>
      </c>
    </row>
    <row r="2493">
      <c r="A2493" s="4" t="s">
        <v>4987</v>
      </c>
      <c r="B2493" s="5" t="s">
        <v>4988</v>
      </c>
      <c r="C2493" s="6"/>
      <c r="D2493" s="8">
        <v>45609.0</v>
      </c>
      <c r="E2493" s="7">
        <v>45763.0</v>
      </c>
      <c r="F2493" s="7">
        <v>45763.0</v>
      </c>
    </row>
    <row r="2494">
      <c r="A2494" s="4" t="s">
        <v>4989</v>
      </c>
      <c r="B2494" s="5" t="s">
        <v>4990</v>
      </c>
      <c r="C2494" s="6"/>
      <c r="D2494" s="8">
        <v>45609.0</v>
      </c>
      <c r="E2494" s="7">
        <v>45763.0</v>
      </c>
      <c r="F2494" s="7">
        <v>45763.0</v>
      </c>
    </row>
    <row r="2495">
      <c r="A2495" s="4" t="s">
        <v>4991</v>
      </c>
      <c r="B2495" s="5" t="s">
        <v>4992</v>
      </c>
      <c r="C2495" s="6"/>
      <c r="D2495" s="8">
        <v>45610.0</v>
      </c>
      <c r="E2495" s="7">
        <v>45772.0</v>
      </c>
      <c r="F2495" s="7">
        <v>45772.0</v>
      </c>
    </row>
    <row r="2496">
      <c r="A2496" s="4" t="s">
        <v>4993</v>
      </c>
      <c r="B2496" s="5" t="s">
        <v>4994</v>
      </c>
      <c r="C2496" s="6"/>
      <c r="D2496" s="8">
        <v>45610.0</v>
      </c>
      <c r="E2496" s="7">
        <v>45763.0</v>
      </c>
      <c r="F2496" s="7">
        <v>45763.0</v>
      </c>
    </row>
    <row r="2497">
      <c r="A2497" s="4" t="s">
        <v>4995</v>
      </c>
      <c r="B2497" s="5" t="s">
        <v>4996</v>
      </c>
      <c r="C2497" s="6"/>
      <c r="D2497" s="8">
        <v>45610.0</v>
      </c>
      <c r="E2497" s="7">
        <v>45763.0</v>
      </c>
      <c r="F2497" s="7">
        <v>45763.0</v>
      </c>
    </row>
    <row r="2498">
      <c r="A2498" s="4" t="s">
        <v>4997</v>
      </c>
      <c r="B2498" s="5" t="s">
        <v>4998</v>
      </c>
      <c r="C2498" s="6"/>
      <c r="D2498" s="8">
        <v>45610.0</v>
      </c>
      <c r="E2498" s="7">
        <v>45791.0</v>
      </c>
      <c r="F2498" s="7">
        <v>45791.0</v>
      </c>
    </row>
    <row r="2499">
      <c r="A2499" s="4" t="s">
        <v>4999</v>
      </c>
      <c r="B2499" s="5" t="s">
        <v>5000</v>
      </c>
      <c r="C2499" s="6"/>
      <c r="D2499" s="8">
        <v>45610.0</v>
      </c>
      <c r="E2499" s="7">
        <v>45763.0</v>
      </c>
      <c r="F2499" s="7">
        <v>45763.0</v>
      </c>
    </row>
    <row r="2500">
      <c r="A2500" s="4" t="s">
        <v>5001</v>
      </c>
      <c r="B2500" s="5" t="s">
        <v>5002</v>
      </c>
      <c r="C2500" s="6"/>
      <c r="D2500" s="8">
        <v>45610.0</v>
      </c>
      <c r="E2500" s="7">
        <v>45763.0</v>
      </c>
      <c r="F2500" s="7">
        <v>45763.0</v>
      </c>
    </row>
    <row r="2501">
      <c r="A2501" s="4" t="s">
        <v>5003</v>
      </c>
      <c r="B2501" s="5" t="s">
        <v>5004</v>
      </c>
      <c r="C2501" s="6"/>
      <c r="D2501" s="8">
        <v>44880.0</v>
      </c>
      <c r="E2501" s="7">
        <v>45762.0</v>
      </c>
      <c r="F2501" s="7">
        <v>45762.0</v>
      </c>
    </row>
    <row r="2502">
      <c r="A2502" s="4" t="s">
        <v>5005</v>
      </c>
      <c r="B2502" s="5" t="s">
        <v>5006</v>
      </c>
      <c r="C2502" s="6"/>
      <c r="D2502" s="8">
        <v>45611.0</v>
      </c>
      <c r="E2502" s="7">
        <v>45762.0</v>
      </c>
      <c r="F2502" s="7">
        <v>45762.0</v>
      </c>
    </row>
    <row r="2503">
      <c r="A2503" s="4" t="s">
        <v>5007</v>
      </c>
      <c r="B2503" s="5" t="s">
        <v>5008</v>
      </c>
      <c r="C2503" s="6"/>
      <c r="D2503" s="8">
        <v>45611.0</v>
      </c>
      <c r="E2503" s="7">
        <v>45769.0</v>
      </c>
      <c r="F2503" s="7">
        <v>45769.0</v>
      </c>
    </row>
    <row r="2504">
      <c r="A2504" s="4" t="s">
        <v>5009</v>
      </c>
      <c r="B2504" s="5" t="s">
        <v>5010</v>
      </c>
      <c r="C2504" s="6"/>
      <c r="D2504" s="8">
        <v>45615.0</v>
      </c>
      <c r="E2504" s="7">
        <v>45771.0</v>
      </c>
      <c r="F2504" s="7">
        <v>45771.0</v>
      </c>
    </row>
    <row r="2505">
      <c r="A2505" s="4" t="s">
        <v>5011</v>
      </c>
      <c r="B2505" s="5" t="s">
        <v>5012</v>
      </c>
      <c r="C2505" s="6"/>
      <c r="D2505" s="8">
        <v>45615.0</v>
      </c>
      <c r="E2505" s="7">
        <v>45762.0</v>
      </c>
      <c r="F2505" s="7">
        <v>45762.0</v>
      </c>
    </row>
    <row r="2506">
      <c r="A2506" s="4" t="s">
        <v>5013</v>
      </c>
      <c r="B2506" s="5" t="s">
        <v>5014</v>
      </c>
      <c r="C2506" s="6"/>
      <c r="D2506" s="8">
        <v>45615.0</v>
      </c>
      <c r="E2506" s="7">
        <v>45762.0</v>
      </c>
      <c r="F2506" s="7">
        <v>45762.0</v>
      </c>
    </row>
    <row r="2507">
      <c r="A2507" s="4" t="s">
        <v>5015</v>
      </c>
      <c r="B2507" s="5" t="s">
        <v>5016</v>
      </c>
      <c r="C2507" s="6"/>
      <c r="D2507" s="8">
        <v>45615.0</v>
      </c>
      <c r="E2507" s="7">
        <v>45769.0</v>
      </c>
      <c r="F2507" s="7">
        <v>45769.0</v>
      </c>
    </row>
    <row r="2508">
      <c r="A2508" s="4" t="s">
        <v>5017</v>
      </c>
      <c r="B2508" s="5" t="s">
        <v>5018</v>
      </c>
      <c r="C2508" s="6"/>
      <c r="D2508" s="8">
        <v>45616.0</v>
      </c>
      <c r="E2508" s="7">
        <v>45762.0</v>
      </c>
      <c r="F2508" s="7">
        <v>45762.0</v>
      </c>
    </row>
    <row r="2509">
      <c r="A2509" s="4" t="s">
        <v>5019</v>
      </c>
      <c r="B2509" s="5" t="s">
        <v>5020</v>
      </c>
      <c r="C2509" s="6"/>
      <c r="D2509" s="8">
        <v>45616.0</v>
      </c>
      <c r="E2509" s="7">
        <v>45762.0</v>
      </c>
      <c r="F2509" s="7">
        <v>45762.0</v>
      </c>
    </row>
    <row r="2510">
      <c r="A2510" s="4" t="s">
        <v>5021</v>
      </c>
      <c r="B2510" s="5" t="s">
        <v>5022</v>
      </c>
      <c r="C2510" s="6"/>
      <c r="D2510" s="8">
        <v>45616.0</v>
      </c>
      <c r="E2510" s="7">
        <v>45762.0</v>
      </c>
      <c r="F2510" s="7">
        <v>45762.0</v>
      </c>
    </row>
    <row r="2511">
      <c r="A2511" s="4" t="s">
        <v>5023</v>
      </c>
      <c r="B2511" s="5" t="s">
        <v>5024</v>
      </c>
      <c r="C2511" s="6"/>
      <c r="D2511" s="8">
        <v>45616.0</v>
      </c>
      <c r="E2511" s="7">
        <v>45762.0</v>
      </c>
      <c r="F2511" s="7">
        <v>45762.0</v>
      </c>
    </row>
    <row r="2512">
      <c r="A2512" s="4" t="s">
        <v>5025</v>
      </c>
      <c r="B2512" s="5" t="s">
        <v>5026</v>
      </c>
      <c r="C2512" s="6"/>
      <c r="D2512" s="8">
        <v>45616.0</v>
      </c>
      <c r="E2512" s="7">
        <v>45762.0</v>
      </c>
      <c r="F2512" s="7">
        <v>45762.0</v>
      </c>
    </row>
    <row r="2513">
      <c r="A2513" s="4" t="s">
        <v>5027</v>
      </c>
      <c r="B2513" s="5" t="s">
        <v>5028</v>
      </c>
      <c r="C2513" s="6"/>
      <c r="D2513" s="8">
        <v>45616.0</v>
      </c>
      <c r="E2513" s="7">
        <v>45782.0</v>
      </c>
      <c r="F2513" s="7">
        <v>45782.0</v>
      </c>
    </row>
    <row r="2514">
      <c r="A2514" s="4" t="s">
        <v>5029</v>
      </c>
      <c r="B2514" s="5" t="s">
        <v>5030</v>
      </c>
      <c r="C2514" s="6"/>
      <c r="D2514" s="8">
        <v>45616.0</v>
      </c>
      <c r="E2514" s="7">
        <v>45762.0</v>
      </c>
      <c r="F2514" s="7">
        <v>45762.0</v>
      </c>
    </row>
    <row r="2515">
      <c r="A2515" s="4" t="s">
        <v>5031</v>
      </c>
      <c r="B2515" s="5" t="s">
        <v>5032</v>
      </c>
      <c r="C2515" s="6"/>
      <c r="D2515" s="8">
        <v>45616.0</v>
      </c>
      <c r="E2515" s="7">
        <v>45762.0</v>
      </c>
      <c r="F2515" s="7">
        <v>45762.0</v>
      </c>
    </row>
    <row r="2516">
      <c r="A2516" s="4" t="s">
        <v>5033</v>
      </c>
      <c r="B2516" s="5" t="s">
        <v>5034</v>
      </c>
      <c r="C2516" s="6"/>
      <c r="D2516" s="8">
        <v>45616.0</v>
      </c>
      <c r="E2516" s="7">
        <v>45762.0</v>
      </c>
      <c r="F2516" s="7">
        <v>45762.0</v>
      </c>
    </row>
    <row r="2517">
      <c r="A2517" s="4" t="s">
        <v>5035</v>
      </c>
      <c r="B2517" s="5" t="s">
        <v>5036</v>
      </c>
      <c r="C2517" s="6"/>
      <c r="D2517" s="8">
        <v>45616.0</v>
      </c>
      <c r="E2517" s="7">
        <v>45762.0</v>
      </c>
      <c r="F2517" s="7">
        <v>45762.0</v>
      </c>
    </row>
    <row r="2518">
      <c r="A2518" s="4" t="s">
        <v>5037</v>
      </c>
      <c r="B2518" s="5" t="s">
        <v>5038</v>
      </c>
      <c r="C2518" s="6"/>
      <c r="D2518" s="8">
        <v>45617.0</v>
      </c>
      <c r="E2518" s="7">
        <v>45398.0</v>
      </c>
      <c r="F2518" s="7">
        <v>45398.0</v>
      </c>
    </row>
    <row r="2519">
      <c r="A2519" s="4" t="s">
        <v>5039</v>
      </c>
      <c r="B2519" s="5" t="s">
        <v>5040</v>
      </c>
      <c r="C2519" s="6"/>
      <c r="D2519" s="8">
        <v>45617.0</v>
      </c>
      <c r="E2519" s="7">
        <v>45757.0</v>
      </c>
      <c r="F2519" s="7">
        <v>45757.0</v>
      </c>
    </row>
    <row r="2520">
      <c r="A2520" s="4" t="s">
        <v>5041</v>
      </c>
      <c r="B2520" s="5" t="s">
        <v>5042</v>
      </c>
      <c r="C2520" s="6"/>
      <c r="D2520" s="8">
        <v>45617.0</v>
      </c>
      <c r="E2520" s="7">
        <v>45762.0</v>
      </c>
      <c r="F2520" s="7">
        <v>45762.0</v>
      </c>
    </row>
    <row r="2521">
      <c r="A2521" s="4" t="s">
        <v>5043</v>
      </c>
      <c r="B2521" s="5" t="s">
        <v>5044</v>
      </c>
      <c r="C2521" s="6"/>
      <c r="D2521" s="8">
        <v>45617.0</v>
      </c>
      <c r="E2521" s="7">
        <v>45757.0</v>
      </c>
      <c r="F2521" s="7">
        <v>45757.0</v>
      </c>
    </row>
    <row r="2522">
      <c r="A2522" s="4" t="s">
        <v>5045</v>
      </c>
      <c r="B2522" s="5" t="s">
        <v>5046</v>
      </c>
      <c r="C2522" s="6"/>
      <c r="D2522" s="8">
        <v>45618.0</v>
      </c>
      <c r="E2522" s="7">
        <v>45756.0</v>
      </c>
      <c r="F2522" s="7">
        <v>45756.0</v>
      </c>
    </row>
    <row r="2523">
      <c r="A2523" s="4" t="s">
        <v>5047</v>
      </c>
      <c r="B2523" s="5" t="s">
        <v>5048</v>
      </c>
      <c r="C2523" s="6"/>
      <c r="D2523" s="8">
        <v>45618.0</v>
      </c>
      <c r="E2523" s="7">
        <v>45756.0</v>
      </c>
      <c r="F2523" s="7">
        <v>45756.0</v>
      </c>
    </row>
    <row r="2524">
      <c r="A2524" s="4" t="s">
        <v>5049</v>
      </c>
      <c r="B2524" s="5" t="s">
        <v>5050</v>
      </c>
      <c r="C2524" s="6"/>
      <c r="D2524" s="8">
        <v>45258.0</v>
      </c>
      <c r="E2524" s="7">
        <v>45762.0</v>
      </c>
      <c r="F2524" s="7">
        <v>45762.0</v>
      </c>
    </row>
    <row r="2525">
      <c r="A2525" s="4" t="s">
        <v>5051</v>
      </c>
      <c r="B2525" s="5" t="s">
        <v>5052</v>
      </c>
      <c r="C2525" s="6"/>
      <c r="D2525" s="8">
        <v>45258.0</v>
      </c>
      <c r="E2525" s="7">
        <v>45755.0</v>
      </c>
      <c r="F2525" s="7">
        <v>45755.0</v>
      </c>
    </row>
    <row r="2526">
      <c r="A2526" s="4" t="s">
        <v>5053</v>
      </c>
      <c r="B2526" s="5" t="s">
        <v>5054</v>
      </c>
      <c r="C2526" s="6"/>
      <c r="D2526" s="7">
        <v>45629.0</v>
      </c>
      <c r="E2526" s="7">
        <v>45755.0</v>
      </c>
      <c r="F2526" s="7">
        <v>45755.0</v>
      </c>
    </row>
    <row r="2527">
      <c r="A2527" s="4" t="s">
        <v>5055</v>
      </c>
      <c r="B2527" s="5" t="s">
        <v>5056</v>
      </c>
      <c r="C2527" s="6"/>
      <c r="D2527" s="7">
        <v>45629.0</v>
      </c>
      <c r="E2527" s="7">
        <v>45761.0</v>
      </c>
      <c r="F2527" s="7">
        <v>45761.0</v>
      </c>
    </row>
    <row r="2528">
      <c r="A2528" s="4" t="s">
        <v>5057</v>
      </c>
      <c r="B2528" s="5" t="s">
        <v>5058</v>
      </c>
      <c r="C2528" s="6"/>
      <c r="D2528" s="7">
        <v>45630.0</v>
      </c>
      <c r="E2528" s="7">
        <v>45761.0</v>
      </c>
      <c r="F2528" s="7">
        <v>45761.0</v>
      </c>
    </row>
    <row r="2529">
      <c r="A2529" s="4" t="s">
        <v>5059</v>
      </c>
      <c r="B2529" s="5" t="s">
        <v>5060</v>
      </c>
      <c r="C2529" s="6"/>
      <c r="D2529" s="7">
        <v>45631.0</v>
      </c>
      <c r="E2529" s="7">
        <v>45763.0</v>
      </c>
      <c r="F2529" s="7">
        <v>45763.0</v>
      </c>
    </row>
    <row r="2530">
      <c r="A2530" s="4" t="s">
        <v>5061</v>
      </c>
      <c r="B2530" s="5" t="s">
        <v>5062</v>
      </c>
      <c r="C2530" s="6"/>
      <c r="D2530" s="7">
        <v>45631.0</v>
      </c>
      <c r="E2530" s="7">
        <v>45812.0</v>
      </c>
      <c r="F2530" s="7">
        <v>45812.0</v>
      </c>
    </row>
    <row r="2531">
      <c r="A2531" s="4" t="s">
        <v>5063</v>
      </c>
      <c r="B2531" s="5" t="s">
        <v>5064</v>
      </c>
      <c r="C2531" s="6"/>
      <c r="D2531" s="7">
        <v>45631.0</v>
      </c>
      <c r="E2531" s="7">
        <v>45799.0</v>
      </c>
      <c r="F2531" s="7">
        <v>45799.0</v>
      </c>
    </row>
    <row r="2532">
      <c r="A2532" s="4" t="s">
        <v>5065</v>
      </c>
      <c r="B2532" s="5" t="s">
        <v>5066</v>
      </c>
      <c r="C2532" s="6"/>
      <c r="D2532" s="7">
        <v>45631.0</v>
      </c>
      <c r="E2532" s="7">
        <v>45770.0</v>
      </c>
      <c r="F2532" s="7">
        <v>45770.0</v>
      </c>
    </row>
    <row r="2533">
      <c r="A2533" s="4" t="s">
        <v>5067</v>
      </c>
      <c r="B2533" s="5" t="s">
        <v>5068</v>
      </c>
      <c r="C2533" s="6"/>
      <c r="D2533" s="7">
        <v>45631.0</v>
      </c>
      <c r="E2533" s="7">
        <v>45756.0</v>
      </c>
      <c r="F2533" s="7">
        <v>45756.0</v>
      </c>
    </row>
    <row r="2534">
      <c r="A2534" s="4" t="s">
        <v>5069</v>
      </c>
      <c r="B2534" s="5" t="s">
        <v>5070</v>
      </c>
      <c r="C2534" s="6"/>
      <c r="D2534" s="7">
        <v>45631.0</v>
      </c>
      <c r="E2534" s="7">
        <v>45772.0</v>
      </c>
      <c r="F2534" s="7">
        <v>45772.0</v>
      </c>
    </row>
    <row r="2535">
      <c r="A2535" s="4" t="s">
        <v>5071</v>
      </c>
      <c r="B2535" s="5" t="s">
        <v>5072</v>
      </c>
      <c r="C2535" s="6"/>
      <c r="D2535" s="7">
        <v>45632.0</v>
      </c>
      <c r="E2535" s="7">
        <v>45777.0</v>
      </c>
      <c r="F2535" s="7">
        <v>45777.0</v>
      </c>
    </row>
    <row r="2536">
      <c r="A2536" s="4" t="s">
        <v>5073</v>
      </c>
      <c r="B2536" s="5" t="s">
        <v>5074</v>
      </c>
      <c r="C2536" s="6"/>
      <c r="D2536" s="7">
        <v>45632.0</v>
      </c>
      <c r="E2536" s="7">
        <v>45769.0</v>
      </c>
      <c r="F2536" s="7">
        <v>45769.0</v>
      </c>
    </row>
    <row r="2537">
      <c r="A2537" s="4" t="s">
        <v>5075</v>
      </c>
      <c r="B2537" s="5" t="s">
        <v>5076</v>
      </c>
      <c r="C2537" s="6"/>
      <c r="D2537" s="7">
        <v>45632.0</v>
      </c>
      <c r="E2537" s="7">
        <v>45334.0</v>
      </c>
      <c r="F2537" s="7">
        <v>45334.0</v>
      </c>
    </row>
    <row r="2538">
      <c r="A2538" s="4" t="s">
        <v>5077</v>
      </c>
      <c r="B2538" s="5" t="s">
        <v>5078</v>
      </c>
      <c r="C2538" s="6"/>
      <c r="D2538" s="7">
        <v>45632.0</v>
      </c>
      <c r="E2538" s="7">
        <v>45812.0</v>
      </c>
      <c r="F2538" s="7">
        <v>45812.0</v>
      </c>
    </row>
    <row r="2539">
      <c r="A2539" s="4" t="s">
        <v>5079</v>
      </c>
      <c r="B2539" s="5" t="s">
        <v>5080</v>
      </c>
      <c r="C2539" s="6"/>
      <c r="D2539" s="7">
        <v>45267.0</v>
      </c>
      <c r="E2539" s="7">
        <v>45898.0</v>
      </c>
      <c r="F2539" s="7">
        <v>45898.0</v>
      </c>
    </row>
    <row r="2540">
      <c r="A2540" s="4" t="s">
        <v>5081</v>
      </c>
      <c r="B2540" s="5" t="s">
        <v>5082</v>
      </c>
      <c r="C2540" s="6"/>
      <c r="D2540" s="7">
        <v>45635.0</v>
      </c>
      <c r="E2540" s="7">
        <v>45777.0</v>
      </c>
      <c r="F2540" s="7">
        <v>45777.0</v>
      </c>
    </row>
    <row r="2541">
      <c r="A2541" s="4" t="s">
        <v>5083</v>
      </c>
      <c r="B2541" s="5" t="s">
        <v>5084</v>
      </c>
      <c r="C2541" s="6"/>
      <c r="D2541" s="7">
        <v>45635.0</v>
      </c>
      <c r="E2541" s="7">
        <v>45267.0</v>
      </c>
      <c r="F2541" s="7">
        <v>45267.0</v>
      </c>
    </row>
    <row r="2542">
      <c r="A2542" s="4" t="s">
        <v>5085</v>
      </c>
      <c r="B2542" s="5" t="s">
        <v>5086</v>
      </c>
      <c r="C2542" s="6"/>
      <c r="D2542" s="7">
        <v>45635.0</v>
      </c>
      <c r="E2542" s="7">
        <v>45770.0</v>
      </c>
      <c r="F2542" s="7">
        <v>45770.0</v>
      </c>
    </row>
    <row r="2543">
      <c r="A2543" s="4" t="s">
        <v>5087</v>
      </c>
      <c r="B2543" s="5" t="s">
        <v>5088</v>
      </c>
      <c r="C2543" s="6"/>
      <c r="D2543" s="8">
        <v>45636.0</v>
      </c>
      <c r="E2543" s="7">
        <v>45770.0</v>
      </c>
      <c r="F2543" s="7">
        <v>45770.0</v>
      </c>
    </row>
    <row r="2544">
      <c r="A2544" s="4" t="s">
        <v>5089</v>
      </c>
      <c r="B2544" s="5" t="s">
        <v>5090</v>
      </c>
      <c r="C2544" s="6"/>
      <c r="D2544" s="8">
        <v>45636.0</v>
      </c>
      <c r="E2544" s="7">
        <v>45238.0</v>
      </c>
      <c r="F2544" s="7">
        <v>45238.0</v>
      </c>
    </row>
    <row r="2545">
      <c r="A2545" s="4" t="s">
        <v>5091</v>
      </c>
      <c r="B2545" s="5" t="s">
        <v>5092</v>
      </c>
      <c r="C2545" s="6"/>
      <c r="D2545" s="8">
        <v>45636.0</v>
      </c>
      <c r="E2545" s="8">
        <v>45218.0</v>
      </c>
      <c r="F2545" s="8">
        <v>45218.0</v>
      </c>
    </row>
    <row r="2546">
      <c r="A2546" s="4" t="s">
        <v>5093</v>
      </c>
      <c r="B2546" s="5" t="s">
        <v>5094</v>
      </c>
      <c r="C2546" s="6"/>
      <c r="D2546" s="8">
        <v>45636.0</v>
      </c>
      <c r="E2546" s="8">
        <v>45209.0</v>
      </c>
      <c r="F2546" s="8">
        <v>45209.0</v>
      </c>
    </row>
    <row r="2547">
      <c r="A2547" s="4" t="s">
        <v>5095</v>
      </c>
      <c r="B2547" s="5" t="s">
        <v>5096</v>
      </c>
      <c r="C2547" s="6"/>
      <c r="D2547" s="8">
        <v>45637.0</v>
      </c>
      <c r="E2547" s="7">
        <v>45818.0</v>
      </c>
      <c r="F2547" s="7">
        <v>45818.0</v>
      </c>
    </row>
    <row r="2548">
      <c r="A2548" s="4" t="s">
        <v>5097</v>
      </c>
      <c r="B2548" s="5" t="s">
        <v>5098</v>
      </c>
      <c r="C2548" s="6"/>
      <c r="D2548" s="8">
        <v>45637.0</v>
      </c>
      <c r="E2548" s="7">
        <v>45821.0</v>
      </c>
      <c r="F2548" s="7">
        <v>45821.0</v>
      </c>
    </row>
    <row r="2549">
      <c r="A2549" s="4" t="s">
        <v>5099</v>
      </c>
      <c r="B2549" s="5" t="s">
        <v>5100</v>
      </c>
      <c r="C2549" s="6"/>
      <c r="D2549" s="8">
        <v>45637.0</v>
      </c>
      <c r="E2549" s="7">
        <v>45090.0</v>
      </c>
      <c r="F2549" s="7">
        <v>45090.0</v>
      </c>
    </row>
    <row r="2550">
      <c r="A2550" s="4" t="s">
        <v>5101</v>
      </c>
      <c r="B2550" s="5" t="s">
        <v>5102</v>
      </c>
      <c r="C2550" s="6"/>
      <c r="D2550" s="8">
        <v>45638.0</v>
      </c>
      <c r="E2550" s="7">
        <v>45819.0</v>
      </c>
      <c r="F2550" s="7">
        <v>45819.0</v>
      </c>
    </row>
    <row r="2551">
      <c r="A2551" s="4" t="s">
        <v>5103</v>
      </c>
      <c r="B2551" s="5" t="s">
        <v>5104</v>
      </c>
      <c r="C2551" s="6"/>
      <c r="D2551" s="8">
        <v>45638.0</v>
      </c>
      <c r="E2551" s="7">
        <v>45818.0</v>
      </c>
      <c r="F2551" s="7">
        <v>45818.0</v>
      </c>
    </row>
    <row r="2552">
      <c r="A2552" s="4" t="s">
        <v>5105</v>
      </c>
      <c r="B2552" s="5" t="s">
        <v>5106</v>
      </c>
      <c r="C2552" s="6"/>
      <c r="D2552" s="8">
        <v>45638.0</v>
      </c>
      <c r="E2552" s="7">
        <v>45811.0</v>
      </c>
      <c r="F2552" s="7">
        <v>45811.0</v>
      </c>
    </row>
    <row r="2553">
      <c r="A2553" s="4" t="s">
        <v>5107</v>
      </c>
      <c r="B2553" s="5" t="s">
        <v>5108</v>
      </c>
      <c r="C2553" s="6"/>
      <c r="D2553" s="8">
        <v>45638.0</v>
      </c>
      <c r="E2553" s="7">
        <v>45805.0</v>
      </c>
      <c r="F2553" s="7">
        <v>45805.0</v>
      </c>
    </row>
    <row r="2554">
      <c r="A2554" s="4" t="s">
        <v>5109</v>
      </c>
      <c r="B2554" s="5" t="s">
        <v>5110</v>
      </c>
      <c r="C2554" s="6"/>
      <c r="D2554" s="8">
        <v>45638.0</v>
      </c>
      <c r="E2554" s="7">
        <v>45799.0</v>
      </c>
      <c r="F2554" s="7">
        <v>45799.0</v>
      </c>
    </row>
    <row r="2555">
      <c r="A2555" s="4" t="s">
        <v>5111</v>
      </c>
      <c r="B2555" s="5" t="s">
        <v>5112</v>
      </c>
      <c r="C2555" s="6"/>
      <c r="D2555" s="8">
        <v>45638.0</v>
      </c>
      <c r="E2555" s="7">
        <v>45805.0</v>
      </c>
      <c r="F2555" s="7">
        <v>45805.0</v>
      </c>
    </row>
    <row r="2556">
      <c r="A2556" s="4" t="s">
        <v>5113</v>
      </c>
      <c r="B2556" s="5" t="s">
        <v>5114</v>
      </c>
      <c r="C2556" s="6"/>
      <c r="D2556" s="8">
        <v>45638.0</v>
      </c>
      <c r="E2556" s="7">
        <v>45799.0</v>
      </c>
      <c r="F2556" s="7">
        <v>45799.0</v>
      </c>
    </row>
    <row r="2557">
      <c r="A2557" s="4" t="s">
        <v>5115</v>
      </c>
      <c r="B2557" s="5" t="s">
        <v>5116</v>
      </c>
      <c r="C2557" s="6"/>
      <c r="D2557" s="8">
        <v>45638.0</v>
      </c>
      <c r="E2557" s="7">
        <v>45792.0</v>
      </c>
      <c r="F2557" s="7">
        <v>45792.0</v>
      </c>
    </row>
    <row r="2558">
      <c r="A2558" s="4" t="s">
        <v>5117</v>
      </c>
      <c r="B2558" s="5" t="s">
        <v>5118</v>
      </c>
      <c r="C2558" s="6"/>
      <c r="D2558" s="8">
        <v>45639.0</v>
      </c>
      <c r="E2558" s="7">
        <v>45790.0</v>
      </c>
      <c r="F2558" s="7">
        <v>45790.0</v>
      </c>
    </row>
    <row r="2559">
      <c r="A2559" s="4" t="s">
        <v>5119</v>
      </c>
      <c r="B2559" s="5" t="s">
        <v>5120</v>
      </c>
      <c r="C2559" s="6"/>
      <c r="D2559" s="8">
        <v>45643.0</v>
      </c>
      <c r="E2559" s="7">
        <v>45785.0</v>
      </c>
      <c r="F2559" s="7">
        <v>45785.0</v>
      </c>
    </row>
    <row r="2560">
      <c r="A2560" s="4" t="s">
        <v>5121</v>
      </c>
      <c r="B2560" s="5" t="s">
        <v>5122</v>
      </c>
      <c r="C2560" s="6"/>
      <c r="D2560" s="8">
        <v>45643.0</v>
      </c>
      <c r="E2560" s="7">
        <v>45057.0</v>
      </c>
      <c r="F2560" s="7">
        <v>45057.0</v>
      </c>
    </row>
    <row r="2561">
      <c r="A2561" s="4" t="s">
        <v>5123</v>
      </c>
      <c r="B2561" s="5" t="s">
        <v>5124</v>
      </c>
      <c r="C2561" s="6"/>
      <c r="D2561" s="8">
        <v>45643.0</v>
      </c>
      <c r="E2561" s="7">
        <v>45785.0</v>
      </c>
      <c r="F2561" s="7">
        <v>45785.0</v>
      </c>
    </row>
    <row r="2562">
      <c r="A2562" s="4" t="s">
        <v>5125</v>
      </c>
      <c r="B2562" s="5" t="s">
        <v>5126</v>
      </c>
      <c r="C2562" s="6"/>
      <c r="D2562" s="8">
        <v>45643.0</v>
      </c>
      <c r="E2562" s="7">
        <v>45785.0</v>
      </c>
      <c r="F2562" s="7">
        <v>45785.0</v>
      </c>
    </row>
    <row r="2563">
      <c r="A2563" s="4" t="s">
        <v>5127</v>
      </c>
      <c r="B2563" s="5" t="s">
        <v>5128</v>
      </c>
      <c r="C2563" s="6"/>
      <c r="D2563" s="8">
        <v>45644.0</v>
      </c>
      <c r="E2563" s="7">
        <v>45790.0</v>
      </c>
      <c r="F2563" s="7">
        <v>45790.0</v>
      </c>
    </row>
    <row r="2564">
      <c r="A2564" s="4" t="s">
        <v>5129</v>
      </c>
      <c r="B2564" s="5" t="s">
        <v>5130</v>
      </c>
      <c r="C2564" s="6"/>
      <c r="D2564" s="8">
        <v>45279.0</v>
      </c>
      <c r="E2564" s="7">
        <v>45054.0</v>
      </c>
      <c r="F2564" s="7">
        <v>45054.0</v>
      </c>
    </row>
    <row r="2565">
      <c r="A2565" s="4" t="s">
        <v>5131</v>
      </c>
      <c r="B2565" s="5" t="s">
        <v>5132</v>
      </c>
      <c r="C2565" s="6"/>
      <c r="D2565" s="8">
        <v>45645.0</v>
      </c>
      <c r="E2565" s="7">
        <v>45783.0</v>
      </c>
      <c r="F2565" s="7">
        <v>45783.0</v>
      </c>
    </row>
    <row r="2566">
      <c r="A2566" s="4" t="s">
        <v>5133</v>
      </c>
      <c r="B2566" s="5" t="s">
        <v>5134</v>
      </c>
      <c r="C2566" s="6"/>
      <c r="D2566" s="8">
        <v>45645.0</v>
      </c>
      <c r="E2566" s="7">
        <v>45044.0</v>
      </c>
      <c r="F2566" s="7">
        <v>45044.0</v>
      </c>
    </row>
    <row r="2567">
      <c r="A2567" s="4" t="s">
        <v>5135</v>
      </c>
      <c r="B2567" s="5" t="s">
        <v>5136</v>
      </c>
      <c r="C2567" s="6"/>
      <c r="D2567" s="8">
        <v>45646.0</v>
      </c>
      <c r="E2567" s="7">
        <v>45771.0</v>
      </c>
      <c r="F2567" s="7">
        <v>45771.0</v>
      </c>
    </row>
    <row r="2568">
      <c r="A2568" s="4" t="s">
        <v>5137</v>
      </c>
      <c r="B2568" s="5" t="s">
        <v>5138</v>
      </c>
      <c r="C2568" s="6"/>
      <c r="D2568" s="8">
        <v>45649.0</v>
      </c>
      <c r="E2568" s="7">
        <v>45042.0</v>
      </c>
      <c r="F2568" s="7">
        <v>45042.0</v>
      </c>
    </row>
    <row r="2569">
      <c r="A2569" s="4" t="s">
        <v>5139</v>
      </c>
      <c r="B2569" s="5" t="s">
        <v>5140</v>
      </c>
      <c r="C2569" s="6"/>
      <c r="D2569" s="8">
        <v>45653.0</v>
      </c>
      <c r="E2569" s="7">
        <v>45042.0</v>
      </c>
      <c r="F2569" s="7">
        <v>45042.0</v>
      </c>
    </row>
    <row r="2570">
      <c r="A2570" s="4" t="s">
        <v>5141</v>
      </c>
      <c r="B2570" s="5" t="s">
        <v>5142</v>
      </c>
      <c r="C2570" s="6"/>
      <c r="D2570" s="8">
        <v>45656.0</v>
      </c>
      <c r="E2570" s="7">
        <v>45776.0</v>
      </c>
      <c r="F2570" s="7">
        <v>45776.0</v>
      </c>
    </row>
    <row r="2571">
      <c r="A2571" s="4" t="s">
        <v>5143</v>
      </c>
      <c r="B2571" s="5" t="s">
        <v>5144</v>
      </c>
      <c r="C2571" s="6"/>
      <c r="D2571" s="8">
        <v>45657.0</v>
      </c>
      <c r="E2571" s="8">
        <v>44880.0</v>
      </c>
      <c r="F2571" s="8">
        <v>44880.0</v>
      </c>
    </row>
    <row r="2572">
      <c r="A2572" s="4" t="s">
        <v>5145</v>
      </c>
      <c r="B2572" s="5" t="s">
        <v>5146</v>
      </c>
      <c r="C2572" s="6"/>
      <c r="D2572" s="8">
        <v>45657.0</v>
      </c>
      <c r="E2572" s="7">
        <v>45789.0</v>
      </c>
      <c r="F2572" s="7">
        <v>45789.0</v>
      </c>
    </row>
    <row r="2573">
      <c r="B2573" s="9"/>
      <c r="C2573" s="9"/>
      <c r="D2573" s="9"/>
      <c r="E2573" s="9"/>
      <c r="F2573" s="9"/>
    </row>
    <row r="2574">
      <c r="B2574" s="9"/>
      <c r="C2574" s="9"/>
      <c r="D2574" s="9"/>
      <c r="E2574" s="9"/>
      <c r="F257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1.38"/>
    <col customWidth="1" min="2" max="2" width="11.5"/>
    <col customWidth="1" min="3" max="3" width="12.88"/>
    <col customWidth="1" min="4" max="4" width="25.63"/>
    <col customWidth="1" min="5" max="5" width="30.0"/>
    <col customWidth="1" min="6" max="6" width="35.0"/>
    <col customWidth="1" min="7" max="7" width="13.5"/>
    <col customWidth="1" min="8" max="8" width="12.0"/>
  </cols>
  <sheetData>
    <row r="1" ht="27.0" customHeight="1">
      <c r="A1" s="10" t="s">
        <v>0</v>
      </c>
      <c r="B1" s="10" t="s">
        <v>1</v>
      </c>
      <c r="C1" s="10" t="s">
        <v>5147</v>
      </c>
      <c r="D1" s="10" t="s">
        <v>2</v>
      </c>
      <c r="E1" s="10" t="s">
        <v>3</v>
      </c>
      <c r="F1" s="10" t="s">
        <v>4</v>
      </c>
      <c r="G1" s="10" t="s">
        <v>5148</v>
      </c>
      <c r="H1" s="10" t="s">
        <v>5149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tr">
        <f>IFERROR(__xludf.DUMMYFUNCTION("FILTER(
  'Russell3000 Feb 2025(Upcoming s'!A2:F2831,
  (TEXT('Russell3000 Feb 2025(Upcoming s'!D2:D2831, ""yyyy"") = ""2025"") +
  (TEXT('Russell3000 Feb 2025(Upcoming s'!E2:E2831, ""yyyy"") = ""2025"") +
  (TEXT('Russell3000 Feb 2025(Upcoming s'!F2:F283"&amp;"1, ""yyyy"") = ""2025"")
)"),"Hp Inc  Com")</f>
        <v>Hp Inc  Com</v>
      </c>
      <c r="B2" s="12" t="str">
        <f>IFERROR(__xludf.DUMMYFUNCTION("""COMPUTED_VALUE"""),"HPQ-US")</f>
        <v>HPQ-US</v>
      </c>
      <c r="C2" s="12"/>
      <c r="D2" s="13">
        <f>IFERROR(__xludf.DUMMYFUNCTION("""COMPUTED_VALUE"""),45665.0)</f>
        <v>45665</v>
      </c>
      <c r="E2" s="13">
        <f>IFERROR(__xludf.DUMMYFUNCTION("""COMPUTED_VALUE"""),45761.0)</f>
        <v>45761</v>
      </c>
      <c r="F2" s="13">
        <f>IFERROR(__xludf.DUMMYFUNCTION("""COMPUTED_VALUE"""),45761.0)</f>
        <v>45761</v>
      </c>
      <c r="G2" s="14" t="s">
        <v>5150</v>
      </c>
      <c r="H2" s="14" t="s">
        <v>5150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tr">
        <f>IFERROR(__xludf.DUMMYFUNCTION("""COMPUTED_VALUE"""),"Synopsys (Synopsis) Inc  Com")</f>
        <v>Synopsys (Synopsis) Inc  Com</v>
      </c>
      <c r="B3" s="12" t="str">
        <f>IFERROR(__xludf.DUMMYFUNCTION("""COMPUTED_VALUE"""),"SNPS-US")</f>
        <v>SNPS-US</v>
      </c>
      <c r="C3" s="12"/>
      <c r="D3" s="13">
        <f>IFERROR(__xludf.DUMMYFUNCTION("""COMPUTED_VALUE"""),45666.0)</f>
        <v>45666</v>
      </c>
      <c r="E3" s="13">
        <f>IFERROR(__xludf.DUMMYFUNCTION("""COMPUTED_VALUE"""),45757.0)</f>
        <v>45757</v>
      </c>
      <c r="F3" s="13">
        <f>IFERROR(__xludf.DUMMYFUNCTION("""COMPUTED_VALUE"""),45757.0)</f>
        <v>45757</v>
      </c>
      <c r="G3" s="14" t="s">
        <v>5150</v>
      </c>
      <c r="H3" s="14" t="s">
        <v>5150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tr">
        <f>IFERROR(__xludf.DUMMYFUNCTION("""COMPUTED_VALUE"""),"Fuelcell Energy Inc  Com")</f>
        <v>Fuelcell Energy Inc  Com</v>
      </c>
      <c r="B4" s="12" t="str">
        <f>IFERROR(__xludf.DUMMYFUNCTION("""COMPUTED_VALUE"""),"FCEL-US")</f>
        <v>FCEL-US</v>
      </c>
      <c r="C4" s="12"/>
      <c r="D4" s="13">
        <f>IFERROR(__xludf.DUMMYFUNCTION("""COMPUTED_VALUE"""),45667.0)</f>
        <v>45667</v>
      </c>
      <c r="E4" s="13">
        <f>IFERROR(__xludf.DUMMYFUNCTION("""COMPUTED_VALUE"""),45750.0)</f>
        <v>45750</v>
      </c>
      <c r="F4" s="13">
        <f>IFERROR(__xludf.DUMMYFUNCTION("""COMPUTED_VALUE"""),45750.0)</f>
        <v>45750</v>
      </c>
      <c r="G4" s="14" t="s">
        <v>5150</v>
      </c>
      <c r="H4" s="14" t="s">
        <v>5150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 t="str">
        <f>IFERROR(__xludf.DUMMYFUNCTION("""COMPUTED_VALUE"""),"Hewlett Packard Enterprise Co  Com")</f>
        <v>Hewlett Packard Enterprise Co  Com</v>
      </c>
      <c r="B5" s="12" t="str">
        <f>IFERROR(__xludf.DUMMYFUNCTION("""COMPUTED_VALUE"""),"HPE-US")</f>
        <v>HPE-US</v>
      </c>
      <c r="C5" s="12"/>
      <c r="D5" s="13">
        <f>IFERROR(__xludf.DUMMYFUNCTION("""COMPUTED_VALUE"""),45302.0)</f>
        <v>45302</v>
      </c>
      <c r="E5" s="13">
        <f>IFERROR(__xludf.DUMMYFUNCTION("""COMPUTED_VALUE"""),45749.0)</f>
        <v>45749</v>
      </c>
      <c r="F5" s="13">
        <f>IFERROR(__xludf.DUMMYFUNCTION("""COMPUTED_VALUE"""),45749.0)</f>
        <v>45749</v>
      </c>
      <c r="G5" s="15" t="s">
        <v>5150</v>
      </c>
      <c r="H5" s="15" t="s">
        <v>5150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 t="str">
        <f>IFERROR(__xludf.DUMMYFUNCTION("""COMPUTED_VALUE"""),"Cooper Companies Inc  Com")</f>
        <v>Cooper Companies Inc  Com</v>
      </c>
      <c r="B6" s="12" t="str">
        <f>IFERROR(__xludf.DUMMYFUNCTION("""COMPUTED_VALUE"""),"COO-US")</f>
        <v>COO-US</v>
      </c>
      <c r="C6" s="12"/>
      <c r="D6" s="13">
        <f>IFERROR(__xludf.DUMMYFUNCTION("""COMPUTED_VALUE"""),45671.0)</f>
        <v>45671</v>
      </c>
      <c r="E6" s="13">
        <f>IFERROR(__xludf.DUMMYFUNCTION("""COMPUTED_VALUE"""),45749.0)</f>
        <v>45749</v>
      </c>
      <c r="F6" s="13">
        <f>IFERROR(__xludf.DUMMYFUNCTION("""COMPUTED_VALUE"""),45749.0)</f>
        <v>45749</v>
      </c>
      <c r="G6" s="15" t="s">
        <v>5150</v>
      </c>
      <c r="H6" s="15" t="s">
        <v>5150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 t="str">
        <f>IFERROR(__xludf.DUMMYFUNCTION("""COMPUTED_VALUE"""),"Td Synnex Corp  Com")</f>
        <v>Td Synnex Corp  Com</v>
      </c>
      <c r="B7" s="12" t="str">
        <f>IFERROR(__xludf.DUMMYFUNCTION("""COMPUTED_VALUE"""),"SNX-US")</f>
        <v>SNX-US</v>
      </c>
      <c r="C7" s="12"/>
      <c r="D7" s="13">
        <f>IFERROR(__xludf.DUMMYFUNCTION("""COMPUTED_VALUE"""),45672.0)</f>
        <v>45672</v>
      </c>
      <c r="E7" s="13">
        <f>IFERROR(__xludf.DUMMYFUNCTION("""COMPUTED_VALUE"""),45749.0)</f>
        <v>45749</v>
      </c>
      <c r="F7" s="13">
        <f>IFERROR(__xludf.DUMMYFUNCTION("""COMPUTED_VALUE"""),45749.0)</f>
        <v>45749</v>
      </c>
      <c r="G7" s="15" t="s">
        <v>5150</v>
      </c>
      <c r="H7" s="15" t="s">
        <v>5150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 t="str">
        <f>IFERROR(__xludf.DUMMYFUNCTION("""COMPUTED_VALUE"""),"Photronics Inc  Com")</f>
        <v>Photronics Inc  Com</v>
      </c>
      <c r="B8" s="12" t="str">
        <f>IFERROR(__xludf.DUMMYFUNCTION("""COMPUTED_VALUE"""),"PLAB-US")</f>
        <v>PLAB-US</v>
      </c>
      <c r="C8" s="12"/>
      <c r="D8" s="13">
        <f>IFERROR(__xludf.DUMMYFUNCTION("""COMPUTED_VALUE"""),45673.0)</f>
        <v>45673</v>
      </c>
      <c r="E8" s="13">
        <f>IFERROR(__xludf.DUMMYFUNCTION("""COMPUTED_VALUE"""),45749.0)</f>
        <v>45749</v>
      </c>
      <c r="F8" s="13">
        <f>IFERROR(__xludf.DUMMYFUNCTION("""COMPUTED_VALUE"""),45749.0)</f>
        <v>45749</v>
      </c>
      <c r="G8" s="15" t="s">
        <v>5150</v>
      </c>
      <c r="H8" s="15" t="s">
        <v>5150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 t="str">
        <f>IFERROR(__xludf.DUMMYFUNCTION("""COMPUTED_VALUE"""),"Jefferies Financial Group Inc  Com")</f>
        <v>Jefferies Financial Group Inc  Com</v>
      </c>
      <c r="B9" s="12" t="str">
        <f>IFERROR(__xludf.DUMMYFUNCTION("""COMPUTED_VALUE"""),"JEF-US")</f>
        <v>JEF-US</v>
      </c>
      <c r="C9" s="12"/>
      <c r="D9" s="13">
        <f>IFERROR(__xludf.DUMMYFUNCTION("""COMPUTED_VALUE"""),45673.0)</f>
        <v>45673</v>
      </c>
      <c r="E9" s="13">
        <f>IFERROR(__xludf.DUMMYFUNCTION("""COMPUTED_VALUE"""),45743.0)</f>
        <v>45743</v>
      </c>
      <c r="F9" s="13">
        <f>IFERROR(__xludf.DUMMYFUNCTION("""COMPUTED_VALUE"""),45743.0)</f>
        <v>45743</v>
      </c>
      <c r="G9" s="15" t="s">
        <v>5150</v>
      </c>
      <c r="H9" s="15" t="s">
        <v>5150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 t="str">
        <f>IFERROR(__xludf.DUMMYFUNCTION("""COMPUTED_VALUE"""),"Ciena Corp  Com")</f>
        <v>Ciena Corp  Com</v>
      </c>
      <c r="B10" s="12" t="str">
        <f>IFERROR(__xludf.DUMMYFUNCTION("""COMPUTED_VALUE"""),"CIEN-US")</f>
        <v>CIEN-US</v>
      </c>
      <c r="C10" s="12"/>
      <c r="D10" s="13">
        <f>IFERROR(__xludf.DUMMYFUNCTION("""COMPUTED_VALUE"""),45677.0)</f>
        <v>45677</v>
      </c>
      <c r="E10" s="13">
        <f>IFERROR(__xludf.DUMMYFUNCTION("""COMPUTED_VALUE"""),45743.0)</f>
        <v>45743</v>
      </c>
      <c r="F10" s="13">
        <f>IFERROR(__xludf.DUMMYFUNCTION("""COMPUTED_VALUE"""),45743.0)</f>
        <v>45743</v>
      </c>
      <c r="G10" s="15" t="s">
        <v>5150</v>
      </c>
      <c r="H10" s="15" t="s">
        <v>5150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 t="str">
        <f>IFERROR(__xludf.DUMMYFUNCTION("""COMPUTED_VALUE"""),"Hovnanian Enterprises Inc  Cl A")</f>
        <v>Hovnanian Enterprises Inc  Cl A</v>
      </c>
      <c r="B11" s="12" t="str">
        <f>IFERROR(__xludf.DUMMYFUNCTION("""COMPUTED_VALUE"""),"HOV-US")</f>
        <v>HOV-US</v>
      </c>
      <c r="C11" s="12"/>
      <c r="D11" s="13">
        <f>IFERROR(__xludf.DUMMYFUNCTION("""COMPUTED_VALUE"""),45678.0)</f>
        <v>45678</v>
      </c>
      <c r="E11" s="13">
        <f>IFERROR(__xludf.DUMMYFUNCTION("""COMPUTED_VALUE"""),45743.0)</f>
        <v>45743</v>
      </c>
      <c r="F11" s="13">
        <f>IFERROR(__xludf.DUMMYFUNCTION("""COMPUTED_VALUE"""),45743.0)</f>
        <v>45743</v>
      </c>
      <c r="G11" s="15" t="s">
        <v>5150</v>
      </c>
      <c r="H11" s="15" t="s">
        <v>5150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 t="str">
        <f>IFERROR(__xludf.DUMMYFUNCTION("""COMPUTED_VALUE"""),"Rmr Group Inc  Cl A")</f>
        <v>Rmr Group Inc  Cl A</v>
      </c>
      <c r="B12" s="12" t="str">
        <f>IFERROR(__xludf.DUMMYFUNCTION("""COMPUTED_VALUE"""),"RMR-US")</f>
        <v>RMR-US</v>
      </c>
      <c r="C12" s="12"/>
      <c r="D12" s="13">
        <f>IFERROR(__xludf.DUMMYFUNCTION("""COMPUTED_VALUE"""),45678.0)</f>
        <v>45678</v>
      </c>
      <c r="E12" s="13">
        <f>IFERROR(__xludf.DUMMYFUNCTION("""COMPUTED_VALUE"""),45743.0)</f>
        <v>45743</v>
      </c>
      <c r="F12" s="13">
        <f>IFERROR(__xludf.DUMMYFUNCTION("""COMPUTED_VALUE"""),45743.0)</f>
        <v>45743</v>
      </c>
      <c r="G12" s="15" t="s">
        <v>5150</v>
      </c>
      <c r="H12" s="15" t="s">
        <v>5150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 t="str">
        <f>IFERROR(__xludf.DUMMYFUNCTION("""COMPUTED_VALUE"""),"Mccormick &amp; Co Inc  Com Non Vtg")</f>
        <v>Mccormick &amp; Co Inc  Com Non Vtg</v>
      </c>
      <c r="B13" s="12" t="str">
        <f>IFERROR(__xludf.DUMMYFUNCTION("""COMPUTED_VALUE"""),"MKC-US")</f>
        <v>MKC-US</v>
      </c>
      <c r="C13" s="12"/>
      <c r="D13" s="13">
        <f>IFERROR(__xludf.DUMMYFUNCTION("""COMPUTED_VALUE"""),45313.0)</f>
        <v>45313</v>
      </c>
      <c r="E13" s="13">
        <f>IFERROR(__xludf.DUMMYFUNCTION("""COMPUTED_VALUE"""),45742.0)</f>
        <v>45742</v>
      </c>
      <c r="F13" s="13">
        <f>IFERROR(__xludf.DUMMYFUNCTION("""COMPUTED_VALUE"""),45742.0)</f>
        <v>45742</v>
      </c>
      <c r="G13" s="15" t="s">
        <v>5150</v>
      </c>
      <c r="H13" s="15" t="s">
        <v>5150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 t="str">
        <f>IFERROR(__xludf.DUMMYFUNCTION("""COMPUTED_VALUE"""),"Abm Industries Inc  Com")</f>
        <v>Abm Industries Inc  Com</v>
      </c>
      <c r="B14" s="12" t="str">
        <f>IFERROR(__xludf.DUMMYFUNCTION("""COMPUTED_VALUE"""),"ABM-US")</f>
        <v>ABM-US</v>
      </c>
      <c r="C14" s="12"/>
      <c r="D14" s="13">
        <f>IFERROR(__xludf.DUMMYFUNCTION("""COMPUTED_VALUE"""),45679.0)</f>
        <v>45679</v>
      </c>
      <c r="E14" s="13">
        <f>IFERROR(__xludf.DUMMYFUNCTION("""COMPUTED_VALUE"""),45742.0)</f>
        <v>45742</v>
      </c>
      <c r="F14" s="13">
        <f>IFERROR(__xludf.DUMMYFUNCTION("""COMPUTED_VALUE"""),45742.0)</f>
        <v>45742</v>
      </c>
      <c r="G14" s="15" t="s">
        <v>5150</v>
      </c>
      <c r="H14" s="15" t="s">
        <v>5150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 t="str">
        <f>IFERROR(__xludf.DUMMYFUNCTION("""COMPUTED_VALUE"""),"Concentrix Corp  Com Wi")</f>
        <v>Concentrix Corp  Com Wi</v>
      </c>
      <c r="B15" s="12" t="str">
        <f>IFERROR(__xludf.DUMMYFUNCTION("""COMPUTED_VALUE"""),"CNXC-US")</f>
        <v>CNXC-US</v>
      </c>
      <c r="C15" s="12"/>
      <c r="D15" s="13">
        <f>IFERROR(__xludf.DUMMYFUNCTION("""COMPUTED_VALUE"""),45679.0)</f>
        <v>45679</v>
      </c>
      <c r="E15" s="13">
        <f>IFERROR(__xludf.DUMMYFUNCTION("""COMPUTED_VALUE"""),45741.0)</f>
        <v>45741</v>
      </c>
      <c r="F15" s="13">
        <f>IFERROR(__xludf.DUMMYFUNCTION("""COMPUTED_VALUE"""),45741.0)</f>
        <v>45741</v>
      </c>
      <c r="G15" s="16" t="s">
        <v>5150</v>
      </c>
      <c r="H15" s="16" t="s">
        <v>5150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 t="str">
        <f>IFERROR(__xludf.DUMMYFUNCTION("""COMPUTED_VALUE"""),"Walt Disney Co  Com")</f>
        <v>Walt Disney Co  Com</v>
      </c>
      <c r="B16" s="12" t="str">
        <f>IFERROR(__xludf.DUMMYFUNCTION("""COMPUTED_VALUE"""),"DIS-US")</f>
        <v>DIS-US</v>
      </c>
      <c r="C16" s="12"/>
      <c r="D16" s="13">
        <f>IFERROR(__xludf.DUMMYFUNCTION("""COMPUTED_VALUE"""),45680.0)</f>
        <v>45680</v>
      </c>
      <c r="E16" s="13">
        <f>IFERROR(__xludf.DUMMYFUNCTION("""COMPUTED_VALUE"""),45736.0)</f>
        <v>45736</v>
      </c>
      <c r="F16" s="13">
        <f>IFERROR(__xludf.DUMMYFUNCTION("""COMPUTED_VALUE"""),45736.0)</f>
        <v>45736</v>
      </c>
      <c r="G16" s="15" t="s">
        <v>5150</v>
      </c>
      <c r="H16" s="15" t="s">
        <v>5150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 t="str">
        <f>IFERROR(__xludf.DUMMYFUNCTION("""COMPUTED_VALUE"""),"Keysight Technologies Inc  Com")</f>
        <v>Keysight Technologies Inc  Com</v>
      </c>
      <c r="B17" s="12" t="str">
        <f>IFERROR(__xludf.DUMMYFUNCTION("""COMPUTED_VALUE"""),"KEYS-US")</f>
        <v>KEYS-US</v>
      </c>
      <c r="C17" s="12"/>
      <c r="D17" s="13">
        <f>IFERROR(__xludf.DUMMYFUNCTION("""COMPUTED_VALUE"""),45680.0)</f>
        <v>45680</v>
      </c>
      <c r="E17" s="13">
        <f>IFERROR(__xludf.DUMMYFUNCTION("""COMPUTED_VALUE"""),45736.0)</f>
        <v>45736</v>
      </c>
      <c r="F17" s="13">
        <f>IFERROR(__xludf.DUMMYFUNCTION("""COMPUTED_VALUE"""),45736.0)</f>
        <v>45736</v>
      </c>
      <c r="G17" s="15" t="s">
        <v>5150</v>
      </c>
      <c r="H17" s="15" t="s">
        <v>5150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 t="str">
        <f>IFERROR(__xludf.DUMMYFUNCTION("""COMPUTED_VALUE"""),"Construction Partners Inc  Cl A")</f>
        <v>Construction Partners Inc  Cl A</v>
      </c>
      <c r="B18" s="12" t="str">
        <f>IFERROR(__xludf.DUMMYFUNCTION("""COMPUTED_VALUE"""),"ROAD-US")</f>
        <v>ROAD-US</v>
      </c>
      <c r="C18" s="12"/>
      <c r="D18" s="13">
        <f>IFERROR(__xludf.DUMMYFUNCTION("""COMPUTED_VALUE"""),45680.0)</f>
        <v>45680</v>
      </c>
      <c r="E18" s="13">
        <f>IFERROR(__xludf.DUMMYFUNCTION("""COMPUTED_VALUE"""),45736.0)</f>
        <v>45736</v>
      </c>
      <c r="F18" s="13">
        <f>IFERROR(__xludf.DUMMYFUNCTION("""COMPUTED_VALUE"""),45736.0)</f>
        <v>45736</v>
      </c>
      <c r="G18" s="15" t="s">
        <v>5150</v>
      </c>
      <c r="H18" s="15" t="s">
        <v>5150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 t="str">
        <f>IFERROR(__xludf.DUMMYFUNCTION("""COMPUTED_VALUE"""),"Qualcomm Inc  Com")</f>
        <v>Qualcomm Inc  Com</v>
      </c>
      <c r="B19" s="12" t="str">
        <f>IFERROR(__xludf.DUMMYFUNCTION("""COMPUTED_VALUE"""),"QCOM-US")</f>
        <v>QCOM-US</v>
      </c>
      <c r="C19" s="12"/>
      <c r="D19" s="13">
        <f>IFERROR(__xludf.DUMMYFUNCTION("""COMPUTED_VALUE"""),45680.0)</f>
        <v>45680</v>
      </c>
      <c r="E19" s="13">
        <f>IFERROR(__xludf.DUMMYFUNCTION("""COMPUTED_VALUE"""),45734.0)</f>
        <v>45734</v>
      </c>
      <c r="F19" s="13">
        <f>IFERROR(__xludf.DUMMYFUNCTION("""COMPUTED_VALUE"""),45734.0)</f>
        <v>45734</v>
      </c>
      <c r="G19" s="15" t="s">
        <v>5150</v>
      </c>
      <c r="H19" s="15" t="s">
        <v>5150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 t="str">
        <f>IFERROR(__xludf.DUMMYFUNCTION("""COMPUTED_VALUE"""),"Toro Co  Com")</f>
        <v>Toro Co  Com</v>
      </c>
      <c r="B20" s="12" t="str">
        <f>IFERROR(__xludf.DUMMYFUNCTION("""COMPUTED_VALUE"""),"TTC-US")</f>
        <v>TTC-US</v>
      </c>
      <c r="C20" s="12"/>
      <c r="D20" s="13">
        <f>IFERROR(__xludf.DUMMYFUNCTION("""COMPUTED_VALUE"""),45680.0)</f>
        <v>45680</v>
      </c>
      <c r="E20" s="13">
        <f>IFERROR(__xludf.DUMMYFUNCTION("""COMPUTED_VALUE"""),45734.0)</f>
        <v>45734</v>
      </c>
      <c r="F20" s="13">
        <f>IFERROR(__xludf.DUMMYFUNCTION("""COMPUTED_VALUE"""),45734.0)</f>
        <v>45734</v>
      </c>
      <c r="G20" s="15" t="s">
        <v>5150</v>
      </c>
      <c r="H20" s="15" t="s">
        <v>5150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 t="str">
        <f>IFERROR(__xludf.DUMMYFUNCTION("""COMPUTED_VALUE"""),"Fluence Energy Inc  Cl A")</f>
        <v>Fluence Energy Inc  Cl A</v>
      </c>
      <c r="B21" s="12" t="str">
        <f>IFERROR(__xludf.DUMMYFUNCTION("""COMPUTED_VALUE"""),"FLNC-US")</f>
        <v>FLNC-US</v>
      </c>
      <c r="C21" s="12"/>
      <c r="D21" s="13">
        <f>IFERROR(__xludf.DUMMYFUNCTION("""COMPUTED_VALUE"""),45680.0)</f>
        <v>45680</v>
      </c>
      <c r="E21" s="13">
        <f>IFERROR(__xludf.DUMMYFUNCTION("""COMPUTED_VALUE"""),45733.0)</f>
        <v>45733</v>
      </c>
      <c r="F21" s="13">
        <f>IFERROR(__xludf.DUMMYFUNCTION("""COMPUTED_VALUE"""),45733.0)</f>
        <v>45733</v>
      </c>
      <c r="G21" s="15" t="s">
        <v>5150</v>
      </c>
      <c r="H21" s="15" t="s">
        <v>5150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 t="str">
        <f>IFERROR(__xludf.DUMMYFUNCTION("""COMPUTED_VALUE"""),"Heico Corp  Cl A")</f>
        <v>Heico Corp  Cl A</v>
      </c>
      <c r="B22" s="12" t="str">
        <f>IFERROR(__xludf.DUMMYFUNCTION("""COMPUTED_VALUE"""),"HEI.A-US")</f>
        <v>HEI.A-US</v>
      </c>
      <c r="C22" s="12"/>
      <c r="D22" s="13">
        <f>IFERROR(__xludf.DUMMYFUNCTION("""COMPUTED_VALUE"""),45681.0)</f>
        <v>45681</v>
      </c>
      <c r="E22" s="13">
        <f>IFERROR(__xludf.DUMMYFUNCTION("""COMPUTED_VALUE"""),45730.0)</f>
        <v>45730</v>
      </c>
      <c r="F22" s="13">
        <f>IFERROR(__xludf.DUMMYFUNCTION("""COMPUTED_VALUE"""),45730.0)</f>
        <v>45730</v>
      </c>
      <c r="G22" s="16" t="s">
        <v>5151</v>
      </c>
      <c r="H22" s="16" t="s">
        <v>5151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 t="str">
        <f>IFERROR(__xludf.DUMMYFUNCTION("""COMPUTED_VALUE"""),"Heico Corp  Com")</f>
        <v>Heico Corp  Com</v>
      </c>
      <c r="B23" s="12" t="str">
        <f>IFERROR(__xludf.DUMMYFUNCTION("""COMPUTED_VALUE"""),"HEI-US")</f>
        <v>HEI-US</v>
      </c>
      <c r="C23" s="12"/>
      <c r="D23" s="13">
        <f>IFERROR(__xludf.DUMMYFUNCTION("""COMPUTED_VALUE"""),45681.0)</f>
        <v>45681</v>
      </c>
      <c r="E23" s="13">
        <f>IFERROR(__xludf.DUMMYFUNCTION("""COMPUTED_VALUE"""),45730.0)</f>
        <v>45730</v>
      </c>
      <c r="F23" s="13">
        <f>IFERROR(__xludf.DUMMYFUNCTION("""COMPUTED_VALUE"""),45730.0)</f>
        <v>45730</v>
      </c>
      <c r="G23" s="15" t="s">
        <v>5150</v>
      </c>
      <c r="H23" s="15" t="s">
        <v>5150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 t="str">
        <f>IFERROR(__xludf.DUMMYFUNCTION("""COMPUTED_VALUE"""),"Blue Bird Corp  Com")</f>
        <v>Blue Bird Corp  Com</v>
      </c>
      <c r="B24" s="12" t="str">
        <f>IFERROR(__xludf.DUMMYFUNCTION("""COMPUTED_VALUE"""),"BLBD-US")</f>
        <v>BLBD-US</v>
      </c>
      <c r="C24" s="12"/>
      <c r="D24" s="13">
        <f>IFERROR(__xludf.DUMMYFUNCTION("""COMPUTED_VALUE"""),45681.0)</f>
        <v>45681</v>
      </c>
      <c r="E24" s="13">
        <f>IFERROR(__xludf.DUMMYFUNCTION("""COMPUTED_VALUE"""),45730.0)</f>
        <v>45730</v>
      </c>
      <c r="F24" s="13">
        <f>IFERROR(__xludf.DUMMYFUNCTION("""COMPUTED_VALUE"""),45730.0)</f>
        <v>45730</v>
      </c>
      <c r="G24" s="15" t="s">
        <v>5150</v>
      </c>
      <c r="H24" s="15" t="s">
        <v>5150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 t="str">
        <f>IFERROR(__xludf.DUMMYFUNCTION("""COMPUTED_VALUE"""),"Agilent Technologies Inc  Com")</f>
        <v>Agilent Technologies Inc  Com</v>
      </c>
      <c r="B25" s="12" t="str">
        <f>IFERROR(__xludf.DUMMYFUNCTION("""COMPUTED_VALUE"""),"A-US")</f>
        <v>A-US</v>
      </c>
      <c r="C25" s="12"/>
      <c r="D25" s="13">
        <f>IFERROR(__xludf.DUMMYFUNCTION("""COMPUTED_VALUE"""),45681.0)</f>
        <v>45681</v>
      </c>
      <c r="E25" s="13">
        <f>IFERROR(__xludf.DUMMYFUNCTION("""COMPUTED_VALUE"""),45729.0)</f>
        <v>45729</v>
      </c>
      <c r="F25" s="13">
        <f>IFERROR(__xludf.DUMMYFUNCTION("""COMPUTED_VALUE"""),45729.0)</f>
        <v>45729</v>
      </c>
      <c r="G25" s="15" t="s">
        <v>5150</v>
      </c>
      <c r="H25" s="15" t="s">
        <v>5150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 t="str">
        <f>IFERROR(__xludf.DUMMYFUNCTION("""COMPUTED_VALUE"""),"F5 Inc  Com")</f>
        <v>F5 Inc  Com</v>
      </c>
      <c r="B26" s="12" t="str">
        <f>IFERROR(__xludf.DUMMYFUNCTION("""COMPUTED_VALUE"""),"FFIV-US")</f>
        <v>FFIV-US</v>
      </c>
      <c r="C26" s="12"/>
      <c r="D26" s="13">
        <f>IFERROR(__xludf.DUMMYFUNCTION("""COMPUTED_VALUE"""),45684.0)</f>
        <v>45684</v>
      </c>
      <c r="E26" s="13">
        <f>IFERROR(__xludf.DUMMYFUNCTION("""COMPUTED_VALUE"""),45729.0)</f>
        <v>45729</v>
      </c>
      <c r="F26" s="13">
        <f>IFERROR(__xludf.DUMMYFUNCTION("""COMPUTED_VALUE"""),45729.0)</f>
        <v>45729</v>
      </c>
      <c r="G26" s="15" t="s">
        <v>5150</v>
      </c>
      <c r="H26" s="15" t="s">
        <v>5150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 t="str">
        <f>IFERROR(__xludf.DUMMYFUNCTION("""COMPUTED_VALUE"""),"National Fuel Gas Co (Nj)  Com")</f>
        <v>National Fuel Gas Co (Nj)  Com</v>
      </c>
      <c r="B27" s="12" t="str">
        <f>IFERROR(__xludf.DUMMYFUNCTION("""COMPUTED_VALUE"""),"NFG-US")</f>
        <v>NFG-US</v>
      </c>
      <c r="C27" s="12"/>
      <c r="D27" s="13">
        <f>IFERROR(__xludf.DUMMYFUNCTION("""COMPUTED_VALUE"""),45684.0)</f>
        <v>45684</v>
      </c>
      <c r="E27" s="13">
        <f>IFERROR(__xludf.DUMMYFUNCTION("""COMPUTED_VALUE"""),45729.0)</f>
        <v>45729</v>
      </c>
      <c r="F27" s="13">
        <f>IFERROR(__xludf.DUMMYFUNCTION("""COMPUTED_VALUE"""),45729.0)</f>
        <v>45729</v>
      </c>
      <c r="G27" s="15" t="s">
        <v>5150</v>
      </c>
      <c r="H27" s="15" t="s">
        <v>5150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 t="str">
        <f>IFERROR(__xludf.DUMMYFUNCTION("""COMPUTED_VALUE"""),"Cabot Corp  Com")</f>
        <v>Cabot Corp  Com</v>
      </c>
      <c r="B28" s="12" t="str">
        <f>IFERROR(__xludf.DUMMYFUNCTION("""COMPUTED_VALUE"""),"CBT-US")</f>
        <v>CBT-US</v>
      </c>
      <c r="C28" s="12"/>
      <c r="D28" s="13">
        <f>IFERROR(__xludf.DUMMYFUNCTION("""COMPUTED_VALUE"""),45685.0)</f>
        <v>45685</v>
      </c>
      <c r="E28" s="13">
        <f>IFERROR(__xludf.DUMMYFUNCTION("""COMPUTED_VALUE"""),45729.0)</f>
        <v>45729</v>
      </c>
      <c r="F28" s="13">
        <f>IFERROR(__xludf.DUMMYFUNCTION("""COMPUTED_VALUE"""),45729.0)</f>
        <v>45729</v>
      </c>
      <c r="G28" s="15" t="s">
        <v>5150</v>
      </c>
      <c r="H28" s="15" t="s">
        <v>5150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 t="str">
        <f>IFERROR(__xludf.DUMMYFUNCTION("""COMPUTED_VALUE"""),"Enanta Pharmaceuticals Inc  Com")</f>
        <v>Enanta Pharmaceuticals Inc  Com</v>
      </c>
      <c r="B29" s="12" t="str">
        <f>IFERROR(__xludf.DUMMYFUNCTION("""COMPUTED_VALUE"""),"ENTA-US")</f>
        <v>ENTA-US</v>
      </c>
      <c r="C29" s="12"/>
      <c r="D29" s="13">
        <f>IFERROR(__xludf.DUMMYFUNCTION("""COMPUTED_VALUE"""),45685.0)</f>
        <v>45685</v>
      </c>
      <c r="E29" s="13">
        <f>IFERROR(__xludf.DUMMYFUNCTION("""COMPUTED_VALUE"""),45729.0)</f>
        <v>45729</v>
      </c>
      <c r="F29" s="13">
        <f>IFERROR(__xludf.DUMMYFUNCTION("""COMPUTED_VALUE"""),45729.0)</f>
        <v>45729</v>
      </c>
      <c r="G29" s="15" t="s">
        <v>5150</v>
      </c>
      <c r="H29" s="15" t="s">
        <v>5150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 t="str">
        <f>IFERROR(__xludf.DUMMYFUNCTION("""COMPUTED_VALUE"""),"Analog Devices Inc  Com")</f>
        <v>Analog Devices Inc  Com</v>
      </c>
      <c r="B30" s="12" t="str">
        <f>IFERROR(__xludf.DUMMYFUNCTION("""COMPUTED_VALUE"""),"ADI-US")</f>
        <v>ADI-US</v>
      </c>
      <c r="C30" s="12"/>
      <c r="D30" s="13">
        <f>IFERROR(__xludf.DUMMYFUNCTION("""COMPUTED_VALUE"""),45685.0)</f>
        <v>45685</v>
      </c>
      <c r="E30" s="13">
        <f>IFERROR(__xludf.DUMMYFUNCTION("""COMPUTED_VALUE"""),45728.0)</f>
        <v>45728</v>
      </c>
      <c r="F30" s="13">
        <f>IFERROR(__xludf.DUMMYFUNCTION("""COMPUTED_VALUE"""),45728.0)</f>
        <v>45728</v>
      </c>
      <c r="G30" s="15" t="s">
        <v>5150</v>
      </c>
      <c r="H30" s="15" t="s">
        <v>5150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 t="str">
        <f>IFERROR(__xludf.DUMMYFUNCTION("""COMPUTED_VALUE"""),"Starbucks Corp  Com")</f>
        <v>Starbucks Corp  Com</v>
      </c>
      <c r="B31" s="12" t="str">
        <f>IFERROR(__xludf.DUMMYFUNCTION("""COMPUTED_VALUE"""),"SBUX-US")</f>
        <v>SBUX-US</v>
      </c>
      <c r="C31" s="12"/>
      <c r="D31" s="13">
        <f>IFERROR(__xludf.DUMMYFUNCTION("""COMPUTED_VALUE"""),45685.0)</f>
        <v>45685</v>
      </c>
      <c r="E31" s="13">
        <f>IFERROR(__xludf.DUMMYFUNCTION("""COMPUTED_VALUE"""),45728.0)</f>
        <v>45728</v>
      </c>
      <c r="F31" s="13">
        <f>IFERROR(__xludf.DUMMYFUNCTION("""COMPUTED_VALUE"""),45728.0)</f>
        <v>45728</v>
      </c>
      <c r="G31" s="15" t="s">
        <v>5150</v>
      </c>
      <c r="H31" s="15" t="s">
        <v>5150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 t="str">
        <f>IFERROR(__xludf.DUMMYFUNCTION("""COMPUTED_VALUE"""),"Johnson Controls Intl Plc  Com")</f>
        <v>Johnson Controls Intl Plc  Com</v>
      </c>
      <c r="B32" s="12" t="str">
        <f>IFERROR(__xludf.DUMMYFUNCTION("""COMPUTED_VALUE"""),"JCI-US")</f>
        <v>JCI-US</v>
      </c>
      <c r="C32" s="12"/>
      <c r="D32" s="13">
        <f>IFERROR(__xludf.DUMMYFUNCTION("""COMPUTED_VALUE"""),45685.0)</f>
        <v>45685</v>
      </c>
      <c r="E32" s="13">
        <f>IFERROR(__xludf.DUMMYFUNCTION("""COMPUTED_VALUE"""),45728.0)</f>
        <v>45728</v>
      </c>
      <c r="F32" s="13">
        <f>IFERROR(__xludf.DUMMYFUNCTION("""COMPUTED_VALUE"""),45728.0)</f>
        <v>45728</v>
      </c>
      <c r="G32" s="15" t="s">
        <v>5150</v>
      </c>
      <c r="H32" s="15" t="s">
        <v>5150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 t="str">
        <f>IFERROR(__xludf.DUMMYFUNCTION("""COMPUTED_VALUE"""),"Arrowhead Pharmaceuticals Inc  Com")</f>
        <v>Arrowhead Pharmaceuticals Inc  Com</v>
      </c>
      <c r="B33" s="12" t="str">
        <f>IFERROR(__xludf.DUMMYFUNCTION("""COMPUTED_VALUE"""),"ARWR-US")</f>
        <v>ARWR-US</v>
      </c>
      <c r="C33" s="12"/>
      <c r="D33" s="13">
        <f>IFERROR(__xludf.DUMMYFUNCTION("""COMPUTED_VALUE"""),45685.0)</f>
        <v>45685</v>
      </c>
      <c r="E33" s="13">
        <f>IFERROR(__xludf.DUMMYFUNCTION("""COMPUTED_VALUE"""),45728.0)</f>
        <v>45728</v>
      </c>
      <c r="F33" s="13">
        <f>IFERROR(__xludf.DUMMYFUNCTION("""COMPUTED_VALUE"""),45728.0)</f>
        <v>45728</v>
      </c>
      <c r="G33" s="15" t="s">
        <v>5150</v>
      </c>
      <c r="H33" s="15" t="s">
        <v>5150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 t="str">
        <f>IFERROR(__xludf.DUMMYFUNCTION("""COMPUTED_VALUE"""),"Leslies Inc  Com")</f>
        <v>Leslies Inc  Com</v>
      </c>
      <c r="B34" s="12" t="str">
        <f>IFERROR(__xludf.DUMMYFUNCTION("""COMPUTED_VALUE"""),"LESL-US")</f>
        <v>LESL-US</v>
      </c>
      <c r="C34" s="12"/>
      <c r="D34" s="13">
        <f>IFERROR(__xludf.DUMMYFUNCTION("""COMPUTED_VALUE"""),45685.0)</f>
        <v>45685</v>
      </c>
      <c r="E34" s="13">
        <f>IFERROR(__xludf.DUMMYFUNCTION("""COMPUTED_VALUE"""),45728.0)</f>
        <v>45728</v>
      </c>
      <c r="F34" s="13">
        <f>IFERROR(__xludf.DUMMYFUNCTION("""COMPUTED_VALUE"""),45728.0)</f>
        <v>45728</v>
      </c>
      <c r="G34" s="15" t="s">
        <v>5150</v>
      </c>
      <c r="H34" s="15" t="s">
        <v>5150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 t="str">
        <f>IFERROR(__xludf.DUMMYFUNCTION("""COMPUTED_VALUE"""),"Toll Brothers Inc  Com")</f>
        <v>Toll Brothers Inc  Com</v>
      </c>
      <c r="B35" s="12" t="str">
        <f>IFERROR(__xludf.DUMMYFUNCTION("""COMPUTED_VALUE"""),"TOL-US")</f>
        <v>TOL-US</v>
      </c>
      <c r="C35" s="12"/>
      <c r="D35" s="13">
        <f>IFERROR(__xludf.DUMMYFUNCTION("""COMPUTED_VALUE"""),45685.0)</f>
        <v>45685</v>
      </c>
      <c r="E35" s="13">
        <f>IFERROR(__xludf.DUMMYFUNCTION("""COMPUTED_VALUE"""),45727.0)</f>
        <v>45727</v>
      </c>
      <c r="F35" s="13">
        <f>IFERROR(__xludf.DUMMYFUNCTION("""COMPUTED_VALUE"""),45727.0)</f>
        <v>45727</v>
      </c>
      <c r="G35" s="15" t="s">
        <v>5150</v>
      </c>
      <c r="H35" s="15" t="s">
        <v>5150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 t="str">
        <f>IFERROR(__xludf.DUMMYFUNCTION("""COMPUTED_VALUE"""),"Maximus Inc  Com")</f>
        <v>Maximus Inc  Com</v>
      </c>
      <c r="B36" s="12" t="str">
        <f>IFERROR(__xludf.DUMMYFUNCTION("""COMPUTED_VALUE"""),"MMS-US")</f>
        <v>MMS-US</v>
      </c>
      <c r="C36" s="12"/>
      <c r="D36" s="13">
        <f>IFERROR(__xludf.DUMMYFUNCTION("""COMPUTED_VALUE"""),45686.0)</f>
        <v>45686</v>
      </c>
      <c r="E36" s="13">
        <f>IFERROR(__xludf.DUMMYFUNCTION("""COMPUTED_VALUE"""),45727.0)</f>
        <v>45727</v>
      </c>
      <c r="F36" s="13">
        <f>IFERROR(__xludf.DUMMYFUNCTION("""COMPUTED_VALUE"""),45727.0)</f>
        <v>45727</v>
      </c>
      <c r="G36" s="15" t="s">
        <v>5150</v>
      </c>
      <c r="H36" s="15" t="s">
        <v>5150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 t="str">
        <f>IFERROR(__xludf.DUMMYFUNCTION("""COMPUTED_VALUE"""),"Griffon Corp  Com")</f>
        <v>Griffon Corp  Com</v>
      </c>
      <c r="B37" s="12" t="str">
        <f>IFERROR(__xludf.DUMMYFUNCTION("""COMPUTED_VALUE"""),"GFF-US")</f>
        <v>GFF-US</v>
      </c>
      <c r="C37" s="12"/>
      <c r="D37" s="13">
        <f>IFERROR(__xludf.DUMMYFUNCTION("""COMPUTED_VALUE"""),45686.0)</f>
        <v>45686</v>
      </c>
      <c r="E37" s="13">
        <f>IFERROR(__xludf.DUMMYFUNCTION("""COMPUTED_VALUE"""),45727.0)</f>
        <v>45727</v>
      </c>
      <c r="F37" s="13">
        <f>IFERROR(__xludf.DUMMYFUNCTION("""COMPUTED_VALUE"""),45727.0)</f>
        <v>45727</v>
      </c>
      <c r="G37" s="15" t="s">
        <v>5150</v>
      </c>
      <c r="H37" s="15" t="s">
        <v>5150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 t="str">
        <f>IFERROR(__xludf.DUMMYFUNCTION("""COMPUTED_VALUE"""),"Sonos Inc  Com")</f>
        <v>Sonos Inc  Com</v>
      </c>
      <c r="B38" s="12" t="str">
        <f>IFERROR(__xludf.DUMMYFUNCTION("""COMPUTED_VALUE"""),"SONO-US")</f>
        <v>SONO-US</v>
      </c>
      <c r="C38" s="12"/>
      <c r="D38" s="13">
        <f>IFERROR(__xludf.DUMMYFUNCTION("""COMPUTED_VALUE"""),45687.0)</f>
        <v>45687</v>
      </c>
      <c r="E38" s="13">
        <f>IFERROR(__xludf.DUMMYFUNCTION("""COMPUTED_VALUE"""),45727.0)</f>
        <v>45727</v>
      </c>
      <c r="F38" s="13">
        <f>IFERROR(__xludf.DUMMYFUNCTION("""COMPUTED_VALUE"""),45727.0)</f>
        <v>45727</v>
      </c>
      <c r="G38" s="15" t="s">
        <v>5150</v>
      </c>
      <c r="H38" s="15" t="s">
        <v>5150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 t="str">
        <f>IFERROR(__xludf.DUMMYFUNCTION("""COMPUTED_VALUE"""),"Outlook Therapeutics Inc  Com")</f>
        <v>Outlook Therapeutics Inc  Com</v>
      </c>
      <c r="B39" s="12" t="str">
        <f>IFERROR(__xludf.DUMMYFUNCTION("""COMPUTED_VALUE"""),"OTLK-US")</f>
        <v>OTLK-US</v>
      </c>
      <c r="C39" s="12"/>
      <c r="D39" s="13">
        <f>IFERROR(__xludf.DUMMYFUNCTION("""COMPUTED_VALUE"""),45687.0)</f>
        <v>45687</v>
      </c>
      <c r="E39" s="13">
        <f>IFERROR(__xludf.DUMMYFUNCTION("""COMPUTED_VALUE"""),45727.0)</f>
        <v>45727</v>
      </c>
      <c r="F39" s="13">
        <f>IFERROR(__xludf.DUMMYFUNCTION("""COMPUTED_VALUE"""),45727.0)</f>
        <v>45727</v>
      </c>
      <c r="G39" s="15" t="s">
        <v>5150</v>
      </c>
      <c r="H39" s="15" t="s">
        <v>5150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 t="str">
        <f>IFERROR(__xludf.DUMMYFUNCTION("""COMPUTED_VALUE"""),"Sanmina Corp  Com")</f>
        <v>Sanmina Corp  Com</v>
      </c>
      <c r="B40" s="12" t="str">
        <f>IFERROR(__xludf.DUMMYFUNCTION("""COMPUTED_VALUE"""),"SANM-US")</f>
        <v>SANM-US</v>
      </c>
      <c r="C40" s="12"/>
      <c r="D40" s="13">
        <f>IFERROR(__xludf.DUMMYFUNCTION("""COMPUTED_VALUE"""),45687.0)</f>
        <v>45687</v>
      </c>
      <c r="E40" s="13">
        <f>IFERROR(__xludf.DUMMYFUNCTION("""COMPUTED_VALUE"""),45726.0)</f>
        <v>45726</v>
      </c>
      <c r="F40" s="13">
        <f>IFERROR(__xludf.DUMMYFUNCTION("""COMPUTED_VALUE"""),45726.0)</f>
        <v>45726</v>
      </c>
      <c r="G40" s="15" t="s">
        <v>5150</v>
      </c>
      <c r="H40" s="15" t="s">
        <v>5150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 t="str">
        <f>IFERROR(__xludf.DUMMYFUNCTION("""COMPUTED_VALUE"""),"Applied Materials Inc  Com")</f>
        <v>Applied Materials Inc  Com</v>
      </c>
      <c r="B41" s="12" t="str">
        <f>IFERROR(__xludf.DUMMYFUNCTION("""COMPUTED_VALUE"""),"AMAT-US")</f>
        <v>AMAT-US</v>
      </c>
      <c r="C41" s="12"/>
      <c r="D41" s="13">
        <f>IFERROR(__xludf.DUMMYFUNCTION("""COMPUTED_VALUE"""),45687.0)</f>
        <v>45687</v>
      </c>
      <c r="E41" s="13">
        <f>IFERROR(__xludf.DUMMYFUNCTION("""COMPUTED_VALUE"""),45722.0)</f>
        <v>45722</v>
      </c>
      <c r="F41" s="13">
        <f>IFERROR(__xludf.DUMMYFUNCTION("""COMPUTED_VALUE"""),45722.0)</f>
        <v>45722</v>
      </c>
      <c r="G41" s="15" t="s">
        <v>5150</v>
      </c>
      <c r="H41" s="15" t="s">
        <v>5150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 t="str">
        <f>IFERROR(__xludf.DUMMYFUNCTION("""COMPUTED_VALUE"""),"Transdigm Group Inc  Com")</f>
        <v>Transdigm Group Inc  Com</v>
      </c>
      <c r="B42" s="12" t="str">
        <f>IFERROR(__xludf.DUMMYFUNCTION("""COMPUTED_VALUE"""),"TDG-US")</f>
        <v>TDG-US</v>
      </c>
      <c r="C42" s="12"/>
      <c r="D42" s="13">
        <f>IFERROR(__xludf.DUMMYFUNCTION("""COMPUTED_VALUE"""),45687.0)</f>
        <v>45687</v>
      </c>
      <c r="E42" s="13">
        <f>IFERROR(__xludf.DUMMYFUNCTION("""COMPUTED_VALUE"""),45722.0)</f>
        <v>45722</v>
      </c>
      <c r="F42" s="13">
        <f>IFERROR(__xludf.DUMMYFUNCTION("""COMPUTED_VALUE"""),45722.0)</f>
        <v>45722</v>
      </c>
      <c r="G42" s="15" t="s">
        <v>5150</v>
      </c>
      <c r="H42" s="15" t="s">
        <v>5150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 t="str">
        <f>IFERROR(__xludf.DUMMYFUNCTION("""COMPUTED_VALUE"""),"Cencora Inc  Com")</f>
        <v>Cencora Inc  Com</v>
      </c>
      <c r="B43" s="12" t="str">
        <f>IFERROR(__xludf.DUMMYFUNCTION("""COMPUTED_VALUE"""),"COR-US")</f>
        <v>COR-US</v>
      </c>
      <c r="C43" s="12"/>
      <c r="D43" s="13">
        <f>IFERROR(__xludf.DUMMYFUNCTION("""COMPUTED_VALUE"""),45688.0)</f>
        <v>45688</v>
      </c>
      <c r="E43" s="13">
        <f>IFERROR(__xludf.DUMMYFUNCTION("""COMPUTED_VALUE"""),45722.0)</f>
        <v>45722</v>
      </c>
      <c r="F43" s="13">
        <f>IFERROR(__xludf.DUMMYFUNCTION("""COMPUTED_VALUE"""),45722.0)</f>
        <v>45722</v>
      </c>
      <c r="G43" s="15" t="s">
        <v>5150</v>
      </c>
      <c r="H43" s="15" t="s">
        <v>5150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 t="str">
        <f>IFERROR(__xludf.DUMMYFUNCTION("""COMPUTED_VALUE"""),"Emvmacom Tech Solutions Hldgs  Com")</f>
        <v>Emvmacom Tech Solutions Hldgs  Com</v>
      </c>
      <c r="B44" s="12" t="str">
        <f>IFERROR(__xludf.DUMMYFUNCTION("""COMPUTED_VALUE"""),"MTSI-US")</f>
        <v>MTSI-US</v>
      </c>
      <c r="C44" s="12"/>
      <c r="D44" s="13">
        <f>IFERROR(__xludf.DUMMYFUNCTION("""COMPUTED_VALUE"""),45691.0)</f>
        <v>45691</v>
      </c>
      <c r="E44" s="13">
        <f>IFERROR(__xludf.DUMMYFUNCTION("""COMPUTED_VALUE"""),45722.0)</f>
        <v>45722</v>
      </c>
      <c r="F44" s="13">
        <f>IFERROR(__xludf.DUMMYFUNCTION("""COMPUTED_VALUE"""),45722.0)</f>
        <v>45722</v>
      </c>
      <c r="G44" s="15" t="s">
        <v>5150</v>
      </c>
      <c r="H44" s="15" t="s">
        <v>5150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 t="str">
        <f>IFERROR(__xludf.DUMMYFUNCTION("""COMPUTED_VALUE"""),"Universal Technical Institute  Com")</f>
        <v>Universal Technical Institute  Com</v>
      </c>
      <c r="B45" s="12" t="str">
        <f>IFERROR(__xludf.DUMMYFUNCTION("""COMPUTED_VALUE"""),"UTI-US")</f>
        <v>UTI-US</v>
      </c>
      <c r="C45" s="12"/>
      <c r="D45" s="13">
        <f>IFERROR(__xludf.DUMMYFUNCTION("""COMPUTED_VALUE"""),45692.0)</f>
        <v>45692</v>
      </c>
      <c r="E45" s="13">
        <f>IFERROR(__xludf.DUMMYFUNCTION("""COMPUTED_VALUE"""),45722.0)</f>
        <v>45722</v>
      </c>
      <c r="F45" s="13">
        <f>IFERROR(__xludf.DUMMYFUNCTION("""COMPUTED_VALUE"""),45722.0)</f>
        <v>45722</v>
      </c>
      <c r="G45" s="15" t="s">
        <v>5150</v>
      </c>
      <c r="H45" s="15" t="s">
        <v>5150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 t="str">
        <f>IFERROR(__xludf.DUMMYFUNCTION("""COMPUTED_VALUE"""),"Compass Minerals International  Com")</f>
        <v>Compass Minerals International  Com</v>
      </c>
      <c r="B46" s="12" t="str">
        <f>IFERROR(__xludf.DUMMYFUNCTION("""COMPUTED_VALUE"""),"CMP-US")</f>
        <v>CMP-US</v>
      </c>
      <c r="C46" s="12"/>
      <c r="D46" s="13">
        <f>IFERROR(__xludf.DUMMYFUNCTION("""COMPUTED_VALUE"""),45692.0)</f>
        <v>45692</v>
      </c>
      <c r="E46" s="13">
        <f>IFERROR(__xludf.DUMMYFUNCTION("""COMPUTED_VALUE"""),45722.0)</f>
        <v>45722</v>
      </c>
      <c r="F46" s="13">
        <f>IFERROR(__xludf.DUMMYFUNCTION("""COMPUTED_VALUE"""),45722.0)</f>
        <v>45722</v>
      </c>
      <c r="G46" s="15" t="s">
        <v>5150</v>
      </c>
      <c r="H46" s="15" t="s">
        <v>5150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 t="str">
        <f>IFERROR(__xludf.DUMMYFUNCTION("""COMPUTED_VALUE"""),"Fair Isaac Corp  Com")</f>
        <v>Fair Isaac Corp  Com</v>
      </c>
      <c r="B47" s="12" t="str">
        <f>IFERROR(__xludf.DUMMYFUNCTION("""COMPUTED_VALUE"""),"FICO-US")</f>
        <v>FICO-US</v>
      </c>
      <c r="C47" s="12"/>
      <c r="D47" s="13">
        <f>IFERROR(__xludf.DUMMYFUNCTION("""COMPUTED_VALUE"""),45692.0)</f>
        <v>45692</v>
      </c>
      <c r="E47" s="13">
        <f>IFERROR(__xludf.DUMMYFUNCTION("""COMPUTED_VALUE"""),45721.0)</f>
        <v>45721</v>
      </c>
      <c r="F47" s="13">
        <f>IFERROR(__xludf.DUMMYFUNCTION("""COMPUTED_VALUE"""),45721.0)</f>
        <v>45721</v>
      </c>
      <c r="G47" s="15" t="s">
        <v>5150</v>
      </c>
      <c r="H47" s="15" t="s">
        <v>5150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 t="str">
        <f>IFERROR(__xludf.DUMMYFUNCTION("""COMPUTED_VALUE"""),"Helmerich &amp; Payne Inc  Com")</f>
        <v>Helmerich &amp; Payne Inc  Com</v>
      </c>
      <c r="B48" s="12" t="str">
        <f>IFERROR(__xludf.DUMMYFUNCTION("""COMPUTED_VALUE"""),"HP-US")</f>
        <v>HP-US</v>
      </c>
      <c r="C48" s="12"/>
      <c r="D48" s="13">
        <f>IFERROR(__xludf.DUMMYFUNCTION("""COMPUTED_VALUE"""),45692.0)</f>
        <v>45692</v>
      </c>
      <c r="E48" s="13">
        <f>IFERROR(__xludf.DUMMYFUNCTION("""COMPUTED_VALUE"""),45721.0)</f>
        <v>45721</v>
      </c>
      <c r="F48" s="13">
        <f>IFERROR(__xludf.DUMMYFUNCTION("""COMPUTED_VALUE"""),45721.0)</f>
        <v>45721</v>
      </c>
      <c r="G48" s="15" t="s">
        <v>5150</v>
      </c>
      <c r="H48" s="15" t="s">
        <v>5150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 t="str">
        <f>IFERROR(__xludf.DUMMYFUNCTION("""COMPUTED_VALUE"""),"Stonex Group Inc  Com")</f>
        <v>Stonex Group Inc  Com</v>
      </c>
      <c r="B49" s="12" t="str">
        <f>IFERROR(__xludf.DUMMYFUNCTION("""COMPUTED_VALUE"""),"SNEX-US")</f>
        <v>SNEX-US</v>
      </c>
      <c r="C49" s="12"/>
      <c r="D49" s="13">
        <f>IFERROR(__xludf.DUMMYFUNCTION("""COMPUTED_VALUE"""),45692.0)</f>
        <v>45692</v>
      </c>
      <c r="E49" s="13">
        <f>IFERROR(__xludf.DUMMYFUNCTION("""COMPUTED_VALUE"""),45721.0)</f>
        <v>45721</v>
      </c>
      <c r="F49" s="13">
        <f>IFERROR(__xludf.DUMMYFUNCTION("""COMPUTED_VALUE"""),45721.0)</f>
        <v>45721</v>
      </c>
      <c r="G49" s="15" t="s">
        <v>5150</v>
      </c>
      <c r="H49" s="15" t="s">
        <v>5150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 t="str">
        <f>IFERROR(__xludf.DUMMYFUNCTION("""COMPUTED_VALUE"""),"Amentum Holdings Inc  Com")</f>
        <v>Amentum Holdings Inc  Com</v>
      </c>
      <c r="B50" s="12" t="str">
        <f>IFERROR(__xludf.DUMMYFUNCTION("""COMPUTED_VALUE"""),"AMTM-US")</f>
        <v>AMTM-US</v>
      </c>
      <c r="C50" s="12"/>
      <c r="D50" s="13">
        <f>IFERROR(__xludf.DUMMYFUNCTION("""COMPUTED_VALUE"""),45692.0)</f>
        <v>45692</v>
      </c>
      <c r="E50" s="13">
        <f>IFERROR(__xludf.DUMMYFUNCTION("""COMPUTED_VALUE"""),45721.0)</f>
        <v>45721</v>
      </c>
      <c r="F50" s="13">
        <f>IFERROR(__xludf.DUMMYFUNCTION("""COMPUTED_VALUE"""),45721.0)</f>
        <v>45721</v>
      </c>
      <c r="G50" s="16" t="s">
        <v>5151</v>
      </c>
      <c r="H50" s="16" t="s">
        <v>5151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 t="str">
        <f>IFERROR(__xludf.DUMMYFUNCTION("""COMPUTED_VALUE"""),"Kulicke &amp; Soffa Industries Inc  Com")</f>
        <v>Kulicke &amp; Soffa Industries Inc  Com</v>
      </c>
      <c r="B51" s="12" t="str">
        <f>IFERROR(__xludf.DUMMYFUNCTION("""COMPUTED_VALUE"""),"KLIC-US")</f>
        <v>KLIC-US</v>
      </c>
      <c r="C51" s="12"/>
      <c r="D51" s="13">
        <f>IFERROR(__xludf.DUMMYFUNCTION("""COMPUTED_VALUE"""),45693.0)</f>
        <v>45693</v>
      </c>
      <c r="E51" s="13">
        <f>IFERROR(__xludf.DUMMYFUNCTION("""COMPUTED_VALUE"""),45721.0)</f>
        <v>45721</v>
      </c>
      <c r="F51" s="13">
        <f>IFERROR(__xludf.DUMMYFUNCTION("""COMPUTED_VALUE"""),45721.0)</f>
        <v>45721</v>
      </c>
      <c r="G51" s="15" t="s">
        <v>5150</v>
      </c>
      <c r="H51" s="15" t="s">
        <v>5150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 t="str">
        <f>IFERROR(__xludf.DUMMYFUNCTION("""COMPUTED_VALUE"""),"Natural Grocers By Vitamin  Com")</f>
        <v>Natural Grocers By Vitamin  Com</v>
      </c>
      <c r="B52" s="12" t="str">
        <f>IFERROR(__xludf.DUMMYFUNCTION("""COMPUTED_VALUE"""),"NGVC-US")</f>
        <v>NGVC-US</v>
      </c>
      <c r="C52" s="12"/>
      <c r="D52" s="13">
        <f>IFERROR(__xludf.DUMMYFUNCTION("""COMPUTED_VALUE"""),45693.0)</f>
        <v>45693</v>
      </c>
      <c r="E52" s="13">
        <f>IFERROR(__xludf.DUMMYFUNCTION("""COMPUTED_VALUE"""),45721.0)</f>
        <v>45721</v>
      </c>
      <c r="F52" s="13">
        <f>IFERROR(__xludf.DUMMYFUNCTION("""COMPUTED_VALUE"""),45721.0)</f>
        <v>45721</v>
      </c>
      <c r="G52" s="15" t="s">
        <v>5150</v>
      </c>
      <c r="H52" s="15" t="s">
        <v>5150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 t="str">
        <f>IFERROR(__xludf.DUMMYFUNCTION("""COMPUTED_VALUE"""),"Nordson Corp  Com")</f>
        <v>Nordson Corp  Com</v>
      </c>
      <c r="B53" s="12" t="str">
        <f>IFERROR(__xludf.DUMMYFUNCTION("""COMPUTED_VALUE"""),"NDSN-US")</f>
        <v>NDSN-US</v>
      </c>
      <c r="C53" s="12"/>
      <c r="D53" s="13">
        <f>IFERROR(__xludf.DUMMYFUNCTION("""COMPUTED_VALUE"""),45693.0)</f>
        <v>45693</v>
      </c>
      <c r="E53" s="13">
        <f>IFERROR(__xludf.DUMMYFUNCTION("""COMPUTED_VALUE"""),45720.0)</f>
        <v>45720</v>
      </c>
      <c r="F53" s="13">
        <f>IFERROR(__xludf.DUMMYFUNCTION("""COMPUTED_VALUE"""),45720.0)</f>
        <v>45720</v>
      </c>
      <c r="G53" s="15" t="s">
        <v>5150</v>
      </c>
      <c r="H53" s="15" t="s">
        <v>5150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 t="str">
        <f>IFERROR(__xludf.DUMMYFUNCTION("""COMPUTED_VALUE"""),"Brightview Holdings Inc  Com")</f>
        <v>Brightview Holdings Inc  Com</v>
      </c>
      <c r="B54" s="12" t="str">
        <f>IFERROR(__xludf.DUMMYFUNCTION("""COMPUTED_VALUE"""),"BV-US")</f>
        <v>BV-US</v>
      </c>
      <c r="C54" s="12"/>
      <c r="D54" s="13">
        <f>IFERROR(__xludf.DUMMYFUNCTION("""COMPUTED_VALUE"""),45694.0)</f>
        <v>45694</v>
      </c>
      <c r="E54" s="13">
        <f>IFERROR(__xludf.DUMMYFUNCTION("""COMPUTED_VALUE"""),45720.0)</f>
        <v>45720</v>
      </c>
      <c r="F54" s="13">
        <f>IFERROR(__xludf.DUMMYFUNCTION("""COMPUTED_VALUE"""),45720.0)</f>
        <v>45720</v>
      </c>
      <c r="G54" s="15" t="s">
        <v>5150</v>
      </c>
      <c r="H54" s="15" t="s">
        <v>5150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 t="str">
        <f>IFERROR(__xludf.DUMMYFUNCTION("""COMPUTED_VALUE"""),"Mitek Systems Inc  Com")</f>
        <v>Mitek Systems Inc  Com</v>
      </c>
      <c r="B55" s="12" t="str">
        <f>IFERROR(__xludf.DUMMYFUNCTION("""COMPUTED_VALUE"""),"MITK-US")</f>
        <v>MITK-US</v>
      </c>
      <c r="C55" s="12"/>
      <c r="D55" s="13">
        <f>IFERROR(__xludf.DUMMYFUNCTION("""COMPUTED_VALUE"""),45694.0)</f>
        <v>45694</v>
      </c>
      <c r="E55" s="13">
        <f>IFERROR(__xludf.DUMMYFUNCTION("""COMPUTED_VALUE"""),45720.0)</f>
        <v>45720</v>
      </c>
      <c r="F55" s="13">
        <f>IFERROR(__xludf.DUMMYFUNCTION("""COMPUTED_VALUE"""),45720.0)</f>
        <v>45720</v>
      </c>
      <c r="G55" s="15" t="s">
        <v>5150</v>
      </c>
      <c r="H55" s="15" t="s">
        <v>5150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 t="str">
        <f>IFERROR(__xludf.DUMMYFUNCTION("""COMPUTED_VALUE"""),"Cleanspark Inc  Com")</f>
        <v>Cleanspark Inc  Com</v>
      </c>
      <c r="B56" s="12" t="str">
        <f>IFERROR(__xludf.DUMMYFUNCTION("""COMPUTED_VALUE"""),"CLSK-US")</f>
        <v>CLSK-US</v>
      </c>
      <c r="C56" s="12"/>
      <c r="D56" s="13">
        <f>IFERROR(__xludf.DUMMYFUNCTION("""COMPUTED_VALUE"""),45694.0)</f>
        <v>45694</v>
      </c>
      <c r="E56" s="13">
        <f>IFERROR(__xludf.DUMMYFUNCTION("""COMPUTED_VALUE"""),45719.0)</f>
        <v>45719</v>
      </c>
      <c r="F56" s="13">
        <f>IFERROR(__xludf.DUMMYFUNCTION("""COMPUTED_VALUE"""),45719.0)</f>
        <v>45719</v>
      </c>
      <c r="G56" s="15" t="s">
        <v>5150</v>
      </c>
      <c r="H56" s="15" t="s">
        <v>5150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 t="str">
        <f>IFERROR(__xludf.DUMMYFUNCTION("""COMPUTED_VALUE"""),"Ingles Markets Inc  Cl A")</f>
        <v>Ingles Markets Inc  Cl A</v>
      </c>
      <c r="B57" s="12" t="str">
        <f>IFERROR(__xludf.DUMMYFUNCTION("""COMPUTED_VALUE"""),"IMKTA-US")</f>
        <v>IMKTA-US</v>
      </c>
      <c r="C57" s="12"/>
      <c r="D57" s="13">
        <f>IFERROR(__xludf.DUMMYFUNCTION("""COMPUTED_VALUE"""),45694.0)</f>
        <v>45694</v>
      </c>
      <c r="E57" s="13">
        <f>IFERROR(__xludf.DUMMYFUNCTION("""COMPUTED_VALUE"""),45719.0)</f>
        <v>45719</v>
      </c>
      <c r="F57" s="13">
        <f>IFERROR(__xludf.DUMMYFUNCTION("""COMPUTED_VALUE"""),45719.0)</f>
        <v>45719</v>
      </c>
      <c r="G57" s="15" t="s">
        <v>5150</v>
      </c>
      <c r="H57" s="15" t="s">
        <v>5150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 t="str">
        <f>IFERROR(__xludf.DUMMYFUNCTION("""COMPUTED_VALUE"""),"Aecom  Com")</f>
        <v>Aecom  Com</v>
      </c>
      <c r="B58" s="12" t="str">
        <f>IFERROR(__xludf.DUMMYFUNCTION("""COMPUTED_VALUE"""),"ACM-US")</f>
        <v>ACM-US</v>
      </c>
      <c r="C58" s="12"/>
      <c r="D58" s="13">
        <f>IFERROR(__xludf.DUMMYFUNCTION("""COMPUTED_VALUE"""),45694.0)</f>
        <v>45694</v>
      </c>
      <c r="E58" s="13">
        <f>IFERROR(__xludf.DUMMYFUNCTION("""COMPUTED_VALUE"""),45716.0)</f>
        <v>45716</v>
      </c>
      <c r="F58" s="13">
        <f>IFERROR(__xludf.DUMMYFUNCTION("""COMPUTED_VALUE"""),45716.0)</f>
        <v>45716</v>
      </c>
      <c r="G58" s="15" t="s">
        <v>5150</v>
      </c>
      <c r="H58" s="15" t="s">
        <v>5150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 t="str">
        <f>IFERROR(__xludf.DUMMYFUNCTION("""COMPUTED_VALUE"""),"Azek Co Inc  Cl A")</f>
        <v>Azek Co Inc  Cl A</v>
      </c>
      <c r="B59" s="12" t="str">
        <f>IFERROR(__xludf.DUMMYFUNCTION("""COMPUTED_VALUE"""),"AZEK-US")</f>
        <v>AZEK-US</v>
      </c>
      <c r="C59" s="12"/>
      <c r="D59" s="13">
        <f>IFERROR(__xludf.DUMMYFUNCTION("""COMPUTED_VALUE"""),45694.0)</f>
        <v>45694</v>
      </c>
      <c r="E59" s="13">
        <f>IFERROR(__xludf.DUMMYFUNCTION("""COMPUTED_VALUE"""),45716.0)</f>
        <v>45716</v>
      </c>
      <c r="F59" s="13">
        <f>IFERROR(__xludf.DUMMYFUNCTION("""COMPUTED_VALUE"""),45716.0)</f>
        <v>45716</v>
      </c>
      <c r="G59" s="15" t="s">
        <v>5150</v>
      </c>
      <c r="H59" s="15" t="s">
        <v>5150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 t="str">
        <f>IFERROR(__xludf.DUMMYFUNCTION("""COMPUTED_VALUE"""),"Jack In The Box Inc  Com")</f>
        <v>Jack In The Box Inc  Com</v>
      </c>
      <c r="B60" s="12" t="str">
        <f>IFERROR(__xludf.DUMMYFUNCTION("""COMPUTED_VALUE"""),"JACK-US")</f>
        <v>JACK-US</v>
      </c>
      <c r="C60" s="12"/>
      <c r="D60" s="13">
        <f>IFERROR(__xludf.DUMMYFUNCTION("""COMPUTED_VALUE"""),45694.0)</f>
        <v>45694</v>
      </c>
      <c r="E60" s="13">
        <f>IFERROR(__xludf.DUMMYFUNCTION("""COMPUTED_VALUE"""),45716.0)</f>
        <v>45716</v>
      </c>
      <c r="F60" s="13">
        <f>IFERROR(__xludf.DUMMYFUNCTION("""COMPUTED_VALUE"""),45716.0)</f>
        <v>45716</v>
      </c>
      <c r="G60" s="15" t="s">
        <v>5150</v>
      </c>
      <c r="H60" s="15" t="s">
        <v>5150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 t="str">
        <f>IFERROR(__xludf.DUMMYFUNCTION("""COMPUTED_VALUE"""),"Tetra Tech Inc  Com")</f>
        <v>Tetra Tech Inc  Com</v>
      </c>
      <c r="B61" s="12" t="str">
        <f>IFERROR(__xludf.DUMMYFUNCTION("""COMPUTED_VALUE"""),"TTEK-US")</f>
        <v>TTEK-US</v>
      </c>
      <c r="C61" s="12"/>
      <c r="D61" s="13">
        <f>IFERROR(__xludf.DUMMYFUNCTION("""COMPUTED_VALUE"""),45695.0)</f>
        <v>45695</v>
      </c>
      <c r="E61" s="13">
        <f>IFERROR(__xludf.DUMMYFUNCTION("""COMPUTED_VALUE"""),45715.0)</f>
        <v>45715</v>
      </c>
      <c r="F61" s="13">
        <f>IFERROR(__xludf.DUMMYFUNCTION("""COMPUTED_VALUE"""),45715.0)</f>
        <v>45715</v>
      </c>
      <c r="G61" s="15" t="s">
        <v>5150</v>
      </c>
      <c r="H61" s="15" t="s">
        <v>5150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 t="str">
        <f>IFERROR(__xludf.DUMMYFUNCTION("""COMPUTED_VALUE"""),"Rev Group Inc  Com")</f>
        <v>Rev Group Inc  Com</v>
      </c>
      <c r="B62" s="12" t="str">
        <f>IFERROR(__xludf.DUMMYFUNCTION("""COMPUTED_VALUE"""),"REVG-US")</f>
        <v>REVG-US</v>
      </c>
      <c r="C62" s="12"/>
      <c r="D62" s="13">
        <f>IFERROR(__xludf.DUMMYFUNCTION("""COMPUTED_VALUE"""),45699.0)</f>
        <v>45699</v>
      </c>
      <c r="E62" s="13">
        <f>IFERROR(__xludf.DUMMYFUNCTION("""COMPUTED_VALUE"""),45715.0)</f>
        <v>45715</v>
      </c>
      <c r="F62" s="13">
        <f>IFERROR(__xludf.DUMMYFUNCTION("""COMPUTED_VALUE"""),45715.0)</f>
        <v>45715</v>
      </c>
      <c r="G62" s="15" t="s">
        <v>5150</v>
      </c>
      <c r="H62" s="15" t="s">
        <v>5150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 t="str">
        <f>IFERROR(__xludf.DUMMYFUNCTION("""COMPUTED_VALUE"""),"Quanex Building Products Corp  Com")</f>
        <v>Quanex Building Products Corp  Com</v>
      </c>
      <c r="B63" s="12" t="str">
        <f>IFERROR(__xludf.DUMMYFUNCTION("""COMPUTED_VALUE"""),"NX-US")</f>
        <v>NX-US</v>
      </c>
      <c r="C63" s="12"/>
      <c r="D63" s="13">
        <f>IFERROR(__xludf.DUMMYFUNCTION("""COMPUTED_VALUE"""),45699.0)</f>
        <v>45699</v>
      </c>
      <c r="E63" s="13">
        <f>IFERROR(__xludf.DUMMYFUNCTION("""COMPUTED_VALUE"""),45715.0)</f>
        <v>45715</v>
      </c>
      <c r="F63" s="13">
        <f>IFERROR(__xludf.DUMMYFUNCTION("""COMPUTED_VALUE"""),45715.0)</f>
        <v>45715</v>
      </c>
      <c r="G63" s="15" t="s">
        <v>5150</v>
      </c>
      <c r="H63" s="15" t="s">
        <v>5150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 t="str">
        <f>IFERROR(__xludf.DUMMYFUNCTION("""COMPUTED_VALUE"""),"Liquidity Services Inc  Com")</f>
        <v>Liquidity Services Inc  Com</v>
      </c>
      <c r="B64" s="12" t="str">
        <f>IFERROR(__xludf.DUMMYFUNCTION("""COMPUTED_VALUE"""),"LQDT-US")</f>
        <v>LQDT-US</v>
      </c>
      <c r="C64" s="12"/>
      <c r="D64" s="13">
        <f>IFERROR(__xludf.DUMMYFUNCTION("""COMPUTED_VALUE"""),45699.0)</f>
        <v>45699</v>
      </c>
      <c r="E64" s="13">
        <f>IFERROR(__xludf.DUMMYFUNCTION("""COMPUTED_VALUE"""),45715.0)</f>
        <v>45715</v>
      </c>
      <c r="F64" s="13">
        <f>IFERROR(__xludf.DUMMYFUNCTION("""COMPUTED_VALUE"""),45715.0)</f>
        <v>45715</v>
      </c>
      <c r="G64" s="15" t="s">
        <v>5150</v>
      </c>
      <c r="H64" s="15" t="s">
        <v>5150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 t="str">
        <f>IFERROR(__xludf.DUMMYFUNCTION("""COMPUTED_VALUE"""),"Clearfield Inc  Com")</f>
        <v>Clearfield Inc  Com</v>
      </c>
      <c r="B65" s="12" t="str">
        <f>IFERROR(__xludf.DUMMYFUNCTION("""COMPUTED_VALUE"""),"CLFD-US")</f>
        <v>CLFD-US</v>
      </c>
      <c r="C65" s="12"/>
      <c r="D65" s="13">
        <f>IFERROR(__xludf.DUMMYFUNCTION("""COMPUTED_VALUE"""),45334.0)</f>
        <v>45334</v>
      </c>
      <c r="E65" s="13">
        <f>IFERROR(__xludf.DUMMYFUNCTION("""COMPUTED_VALUE"""),45715.0)</f>
        <v>45715</v>
      </c>
      <c r="F65" s="13">
        <f>IFERROR(__xludf.DUMMYFUNCTION("""COMPUTED_VALUE"""),45715.0)</f>
        <v>45715</v>
      </c>
      <c r="G65" s="15" t="s">
        <v>5150</v>
      </c>
      <c r="H65" s="15" t="s">
        <v>5150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 t="str">
        <f>IFERROR(__xludf.DUMMYFUNCTION("""COMPUTED_VALUE"""),"Johnson Outdoors Inc  Cl A")</f>
        <v>Johnson Outdoors Inc  Cl A</v>
      </c>
      <c r="B66" s="12" t="str">
        <f>IFERROR(__xludf.DUMMYFUNCTION("""COMPUTED_VALUE"""),"JOUT-US")</f>
        <v>JOUT-US</v>
      </c>
      <c r="C66" s="12"/>
      <c r="D66" s="13">
        <f>IFERROR(__xludf.DUMMYFUNCTION("""COMPUTED_VALUE"""),45700.0)</f>
        <v>45700</v>
      </c>
      <c r="E66" s="13">
        <f>IFERROR(__xludf.DUMMYFUNCTION("""COMPUTED_VALUE"""),45715.0)</f>
        <v>45715</v>
      </c>
      <c r="F66" s="13">
        <f>IFERROR(__xludf.DUMMYFUNCTION("""COMPUTED_VALUE"""),45715.0)</f>
        <v>45715</v>
      </c>
      <c r="G66" s="15" t="s">
        <v>5150</v>
      </c>
      <c r="H66" s="15" t="s">
        <v>5150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 t="str">
        <f>IFERROR(__xludf.DUMMYFUNCTION("""COMPUTED_VALUE"""),"Deere &amp; Co  Com")</f>
        <v>Deere &amp; Co  Com</v>
      </c>
      <c r="B67" s="12" t="str">
        <f>IFERROR(__xludf.DUMMYFUNCTION("""COMPUTED_VALUE"""),"DE-US")</f>
        <v>DE-US</v>
      </c>
      <c r="C67" s="12"/>
      <c r="D67" s="13">
        <f>IFERROR(__xludf.DUMMYFUNCTION("""COMPUTED_VALUE"""),45700.0)</f>
        <v>45700</v>
      </c>
      <c r="E67" s="13">
        <f>IFERROR(__xludf.DUMMYFUNCTION("""COMPUTED_VALUE"""),45714.0)</f>
        <v>45714</v>
      </c>
      <c r="F67" s="13">
        <f>IFERROR(__xludf.DUMMYFUNCTION("""COMPUTED_VALUE"""),45714.0)</f>
        <v>45714</v>
      </c>
      <c r="G67" s="15" t="s">
        <v>5150</v>
      </c>
      <c r="H67" s="15" t="s">
        <v>5150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 t="str">
        <f>IFERROR(__xludf.DUMMYFUNCTION("""COMPUTED_VALUE"""),"Hologic Inc  Com")</f>
        <v>Hologic Inc  Com</v>
      </c>
      <c r="B68" s="12" t="str">
        <f>IFERROR(__xludf.DUMMYFUNCTION("""COMPUTED_VALUE"""),"HOLX-US")</f>
        <v>HOLX-US</v>
      </c>
      <c r="C68" s="12"/>
      <c r="D68" s="13">
        <f>IFERROR(__xludf.DUMMYFUNCTION("""COMPUTED_VALUE"""),45700.0)</f>
        <v>45700</v>
      </c>
      <c r="E68" s="13">
        <f>IFERROR(__xludf.DUMMYFUNCTION("""COMPUTED_VALUE"""),45714.0)</f>
        <v>45714</v>
      </c>
      <c r="F68" s="13">
        <f>IFERROR(__xludf.DUMMYFUNCTION("""COMPUTED_VALUE"""),45714.0)</f>
        <v>45714</v>
      </c>
      <c r="G68" s="15" t="s">
        <v>5150</v>
      </c>
      <c r="H68" s="15" t="s">
        <v>5150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 t="str">
        <f>IFERROR(__xludf.DUMMYFUNCTION("""COMPUTED_VALUE"""),"Apple Inc  Com")</f>
        <v>Apple Inc  Com</v>
      </c>
      <c r="B69" s="12" t="str">
        <f>IFERROR(__xludf.DUMMYFUNCTION("""COMPUTED_VALUE"""),"AAPL-US")</f>
        <v>AAPL-US</v>
      </c>
      <c r="C69" s="12"/>
      <c r="D69" s="13">
        <f>IFERROR(__xludf.DUMMYFUNCTION("""COMPUTED_VALUE"""),45700.0)</f>
        <v>45700</v>
      </c>
      <c r="E69" s="13">
        <f>IFERROR(__xludf.DUMMYFUNCTION("""COMPUTED_VALUE"""),45713.0)</f>
        <v>45713</v>
      </c>
      <c r="F69" s="13">
        <f>IFERROR(__xludf.DUMMYFUNCTION("""COMPUTED_VALUE"""),45713.0)</f>
        <v>45713</v>
      </c>
      <c r="G69" s="15" t="s">
        <v>5150</v>
      </c>
      <c r="H69" s="15" t="s">
        <v>5150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 t="str">
        <f>IFERROR(__xludf.DUMMYFUNCTION("""COMPUTED_VALUE"""),"Pathward Financial Inc  Com")</f>
        <v>Pathward Financial Inc  Com</v>
      </c>
      <c r="B70" s="12" t="str">
        <f>IFERROR(__xludf.DUMMYFUNCTION("""COMPUTED_VALUE"""),"CASH-US")</f>
        <v>CASH-US</v>
      </c>
      <c r="C70" s="12"/>
      <c r="D70" s="13">
        <f>IFERROR(__xludf.DUMMYFUNCTION("""COMPUTED_VALUE"""),45700.0)</f>
        <v>45700</v>
      </c>
      <c r="E70" s="13">
        <f>IFERROR(__xludf.DUMMYFUNCTION("""COMPUTED_VALUE"""),45713.0)</f>
        <v>45713</v>
      </c>
      <c r="F70" s="13">
        <f>IFERROR(__xludf.DUMMYFUNCTION("""COMPUTED_VALUE"""),45713.0)</f>
        <v>45713</v>
      </c>
      <c r="G70" s="15" t="s">
        <v>5150</v>
      </c>
      <c r="H70" s="15" t="s">
        <v>5150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 t="str">
        <f>IFERROR(__xludf.DUMMYFUNCTION("""COMPUTED_VALUE"""),"I3 Verticals Inc  Cl A")</f>
        <v>I3 Verticals Inc  Cl A</v>
      </c>
      <c r="B71" s="12" t="str">
        <f>IFERROR(__xludf.DUMMYFUNCTION("""COMPUTED_VALUE"""),"IIIV-US")</f>
        <v>IIIV-US</v>
      </c>
      <c r="C71" s="12"/>
      <c r="D71" s="13">
        <f>IFERROR(__xludf.DUMMYFUNCTION("""COMPUTED_VALUE"""),45701.0)</f>
        <v>45701</v>
      </c>
      <c r="E71" s="13">
        <f>IFERROR(__xludf.DUMMYFUNCTION("""COMPUTED_VALUE"""),45713.0)</f>
        <v>45713</v>
      </c>
      <c r="F71" s="13">
        <f>IFERROR(__xludf.DUMMYFUNCTION("""COMPUTED_VALUE"""),45713.0)</f>
        <v>45713</v>
      </c>
      <c r="G71" s="15" t="s">
        <v>5150</v>
      </c>
      <c r="H71" s="15" t="s">
        <v>5150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 t="str">
        <f>IFERROR(__xludf.DUMMYFUNCTION("""COMPUTED_VALUE"""),"Greif Inc  Cl A Non-Vtg")</f>
        <v>Greif Inc  Cl A Non-Vtg</v>
      </c>
      <c r="B72" s="12" t="str">
        <f>IFERROR(__xludf.DUMMYFUNCTION("""COMPUTED_VALUE"""),"GEF-US")</f>
        <v>GEF-US</v>
      </c>
      <c r="C72" s="12"/>
      <c r="D72" s="13">
        <f>IFERROR(__xludf.DUMMYFUNCTION("""COMPUTED_VALUE"""),45701.0)</f>
        <v>45701</v>
      </c>
      <c r="E72" s="13">
        <f>IFERROR(__xludf.DUMMYFUNCTION("""COMPUTED_VALUE"""),45712.0)</f>
        <v>45712</v>
      </c>
      <c r="F72" s="13">
        <f>IFERROR(__xludf.DUMMYFUNCTION("""COMPUTED_VALUE"""),45712.0)</f>
        <v>45712</v>
      </c>
      <c r="G72" s="15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 t="str">
        <f>IFERROR(__xludf.DUMMYFUNCTION("""COMPUTED_VALUE"""),"Greif Inc  Cl B")</f>
        <v>Greif Inc  Cl B</v>
      </c>
      <c r="B73" s="12" t="str">
        <f>IFERROR(__xludf.DUMMYFUNCTION("""COMPUTED_VALUE"""),"GEF.B-US")</f>
        <v>GEF.B-US</v>
      </c>
      <c r="C73" s="12"/>
      <c r="D73" s="13">
        <f>IFERROR(__xludf.DUMMYFUNCTION("""COMPUTED_VALUE"""),45701.0)</f>
        <v>45701</v>
      </c>
      <c r="E73" s="13">
        <f>IFERROR(__xludf.DUMMYFUNCTION("""COMPUTED_VALUE"""),45712.0)</f>
        <v>45712</v>
      </c>
      <c r="F73" s="13">
        <f>IFERROR(__xludf.DUMMYFUNCTION("""COMPUTED_VALUE"""),45712.0)</f>
        <v>45712</v>
      </c>
      <c r="G73" s="16" t="s">
        <v>5150</v>
      </c>
      <c r="H73" s="16" t="s">
        <v>5150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 t="str">
        <f>IFERROR(__xludf.DUMMYFUNCTION("""COMPUTED_VALUE"""),"Marinemax Inc  Com")</f>
        <v>Marinemax Inc  Com</v>
      </c>
      <c r="B74" s="12" t="str">
        <f>IFERROR(__xludf.DUMMYFUNCTION("""COMPUTED_VALUE"""),"HZO-US")</f>
        <v>HZO-US</v>
      </c>
      <c r="C74" s="12"/>
      <c r="D74" s="13">
        <f>IFERROR(__xludf.DUMMYFUNCTION("""COMPUTED_VALUE"""),45706.0)</f>
        <v>45706</v>
      </c>
      <c r="E74" s="13">
        <f>IFERROR(__xludf.DUMMYFUNCTION("""COMPUTED_VALUE"""),45709.0)</f>
        <v>45709</v>
      </c>
      <c r="F74" s="13">
        <f>IFERROR(__xludf.DUMMYFUNCTION("""COMPUTED_VALUE"""),45709.0)</f>
        <v>45709</v>
      </c>
      <c r="G74" s="16" t="s">
        <v>5150</v>
      </c>
      <c r="H74" s="16" t="s">
        <v>5150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 t="str">
        <f>IFERROR(__xludf.DUMMYFUNCTION("""COMPUTED_VALUE"""),"Raymond James Financial Inc  Com")</f>
        <v>Raymond James Financial Inc  Com</v>
      </c>
      <c r="B75" s="12" t="str">
        <f>IFERROR(__xludf.DUMMYFUNCTION("""COMPUTED_VALUE"""),"RJF-US")</f>
        <v>RJF-US</v>
      </c>
      <c r="C75" s="12"/>
      <c r="D75" s="13">
        <f>IFERROR(__xludf.DUMMYFUNCTION("""COMPUTED_VALUE"""),45707.0)</f>
        <v>45707</v>
      </c>
      <c r="E75" s="13">
        <f>IFERROR(__xludf.DUMMYFUNCTION("""COMPUTED_VALUE"""),45708.0)</f>
        <v>45708</v>
      </c>
      <c r="F75" s="13">
        <f>IFERROR(__xludf.DUMMYFUNCTION("""COMPUTED_VALUE"""),45708.0)</f>
        <v>45708</v>
      </c>
      <c r="G75" s="16" t="s">
        <v>5150</v>
      </c>
      <c r="H75" s="16" t="s">
        <v>5150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 t="str">
        <f>IFERROR(__xludf.DUMMYFUNCTION("""COMPUTED_VALUE"""),"Ies Holdings Inc  Com")</f>
        <v>Ies Holdings Inc  Com</v>
      </c>
      <c r="B76" s="12" t="str">
        <f>IFERROR(__xludf.DUMMYFUNCTION("""COMPUTED_VALUE"""),"IESC-US")</f>
        <v>IESC-US</v>
      </c>
      <c r="C76" s="12"/>
      <c r="D76" s="13">
        <f>IFERROR(__xludf.DUMMYFUNCTION("""COMPUTED_VALUE"""),45707.0)</f>
        <v>45707</v>
      </c>
      <c r="E76" s="13">
        <f>IFERROR(__xludf.DUMMYFUNCTION("""COMPUTED_VALUE"""),45708.0)</f>
        <v>45708</v>
      </c>
      <c r="F76" s="13">
        <f>IFERROR(__xludf.DUMMYFUNCTION("""COMPUTED_VALUE"""),45708.0)</f>
        <v>45708</v>
      </c>
      <c r="G76" s="16" t="s">
        <v>5150</v>
      </c>
      <c r="H76" s="16" t="s">
        <v>5150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 t="str">
        <f>IFERROR(__xludf.DUMMYFUNCTION("""COMPUTED_VALUE"""),"Matthews International Corp Cl A")</f>
        <v>Matthews International Corp Cl A</v>
      </c>
      <c r="B77" s="12" t="str">
        <f>IFERROR(__xludf.DUMMYFUNCTION("""COMPUTED_VALUE"""),"MATW-US")</f>
        <v>MATW-US</v>
      </c>
      <c r="C77" s="12"/>
      <c r="D77" s="13">
        <f>IFERROR(__xludf.DUMMYFUNCTION("""COMPUTED_VALUE"""),45342.0)</f>
        <v>45342</v>
      </c>
      <c r="E77" s="13">
        <f>IFERROR(__xludf.DUMMYFUNCTION("""COMPUTED_VALUE"""),45708.0)</f>
        <v>45708</v>
      </c>
      <c r="F77" s="13">
        <f>IFERROR(__xludf.DUMMYFUNCTION("""COMPUTED_VALUE"""),45708.0)</f>
        <v>45708</v>
      </c>
      <c r="G77" s="15" t="s">
        <v>5150</v>
      </c>
      <c r="H77" s="15" t="s">
        <v>5150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 t="str">
        <f>IFERROR(__xludf.DUMMYFUNCTION("""COMPUTED_VALUE"""),"Onewater Marine Inc  Cl A")</f>
        <v>Onewater Marine Inc  Cl A</v>
      </c>
      <c r="B78" s="12" t="str">
        <f>IFERROR(__xludf.DUMMYFUNCTION("""COMPUTED_VALUE"""),"ONEW-US")</f>
        <v>ONEW-US</v>
      </c>
      <c r="C78" s="12"/>
      <c r="D78" s="13">
        <f>IFERROR(__xludf.DUMMYFUNCTION("""COMPUTED_VALUE"""),45708.0)</f>
        <v>45708</v>
      </c>
      <c r="E78" s="13">
        <f>IFERROR(__xludf.DUMMYFUNCTION("""COMPUTED_VALUE"""),45708.0)</f>
        <v>45708</v>
      </c>
      <c r="F78" s="13">
        <f>IFERROR(__xludf.DUMMYFUNCTION("""COMPUTED_VALUE"""),45708.0)</f>
        <v>45708</v>
      </c>
      <c r="G78" s="16" t="s">
        <v>5150</v>
      </c>
      <c r="H78" s="16" t="s">
        <v>5150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 t="str">
        <f>IFERROR(__xludf.DUMMYFUNCTION("""COMPUTED_VALUE"""),"Powell Industries Inc  Com")</f>
        <v>Powell Industries Inc  Com</v>
      </c>
      <c r="B79" s="12" t="str">
        <f>IFERROR(__xludf.DUMMYFUNCTION("""COMPUTED_VALUE"""),"POWL-US")</f>
        <v>POWL-US</v>
      </c>
      <c r="C79" s="12"/>
      <c r="D79" s="13">
        <f>IFERROR(__xludf.DUMMYFUNCTION("""COMPUTED_VALUE"""),45708.0)</f>
        <v>45708</v>
      </c>
      <c r="E79" s="13">
        <f>IFERROR(__xludf.DUMMYFUNCTION("""COMPUTED_VALUE"""),45707.0)</f>
        <v>45707</v>
      </c>
      <c r="F79" s="13">
        <f>IFERROR(__xludf.DUMMYFUNCTION("""COMPUTED_VALUE"""),45707.0)</f>
        <v>45707</v>
      </c>
      <c r="G79" s="15" t="s">
        <v>5150</v>
      </c>
      <c r="H79" s="15" t="s">
        <v>5150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 t="str">
        <f>IFERROR(__xludf.DUMMYFUNCTION("""COMPUTED_VALUE"""),"Daily Journal Corp  Com")</f>
        <v>Daily Journal Corp  Com</v>
      </c>
      <c r="B80" s="12" t="str">
        <f>IFERROR(__xludf.DUMMYFUNCTION("""COMPUTED_VALUE"""),"DJCO-US")</f>
        <v>DJCO-US</v>
      </c>
      <c r="C80" s="12"/>
      <c r="D80" s="13">
        <f>IFERROR(__xludf.DUMMYFUNCTION("""COMPUTED_VALUE"""),45708.0)</f>
        <v>45708</v>
      </c>
      <c r="E80" s="13">
        <f>IFERROR(__xludf.DUMMYFUNCTION("""COMPUTED_VALUE"""),45707.0)</f>
        <v>45707</v>
      </c>
      <c r="F80" s="13">
        <f>IFERROR(__xludf.DUMMYFUNCTION("""COMPUTED_VALUE"""),45707.0)</f>
        <v>45707</v>
      </c>
      <c r="G80" s="15" t="s">
        <v>5150</v>
      </c>
      <c r="H80" s="15" t="s">
        <v>5150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 t="str">
        <f>IFERROR(__xludf.DUMMYFUNCTION("""COMPUTED_VALUE"""),"Hillenbrand Inc  Com")</f>
        <v>Hillenbrand Inc  Com</v>
      </c>
      <c r="B81" s="12" t="str">
        <f>IFERROR(__xludf.DUMMYFUNCTION("""COMPUTED_VALUE"""),"HI-US")</f>
        <v>HI-US</v>
      </c>
      <c r="C81" s="12"/>
      <c r="D81" s="13">
        <f>IFERROR(__xludf.DUMMYFUNCTION("""COMPUTED_VALUE"""),45708.0)</f>
        <v>45708</v>
      </c>
      <c r="E81" s="13">
        <f>IFERROR(__xludf.DUMMYFUNCTION("""COMPUTED_VALUE"""),45706.0)</f>
        <v>45706</v>
      </c>
      <c r="F81" s="13">
        <f>IFERROR(__xludf.DUMMYFUNCTION("""COMPUTED_VALUE"""),45706.0)</f>
        <v>45706</v>
      </c>
      <c r="G81" s="15" t="s">
        <v>5150</v>
      </c>
      <c r="H81" s="15" t="s">
        <v>5150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 t="str">
        <f>IFERROR(__xludf.DUMMYFUNCTION("""COMPUTED_VALUE"""),"Cerence Inc  Com")</f>
        <v>Cerence Inc  Com</v>
      </c>
      <c r="B82" s="12" t="str">
        <f>IFERROR(__xludf.DUMMYFUNCTION("""COMPUTED_VALUE"""),"CRNC-US")</f>
        <v>CRNC-US</v>
      </c>
      <c r="C82" s="12"/>
      <c r="D82" s="13">
        <f>IFERROR(__xludf.DUMMYFUNCTION("""COMPUTED_VALUE"""),45709.0)</f>
        <v>45709</v>
      </c>
      <c r="E82" s="13">
        <f>IFERROR(__xludf.DUMMYFUNCTION("""COMPUTED_VALUE"""),45701.0)</f>
        <v>45701</v>
      </c>
      <c r="F82" s="13">
        <f>IFERROR(__xludf.DUMMYFUNCTION("""COMPUTED_VALUE"""),45701.0)</f>
        <v>45701</v>
      </c>
      <c r="G82" s="15" t="s">
        <v>5150</v>
      </c>
      <c r="H82" s="15" t="s">
        <v>5150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 t="str">
        <f>IFERROR(__xludf.DUMMYFUNCTION("""COMPUTED_VALUE"""),"Varex Imaging Corp  Com")</f>
        <v>Varex Imaging Corp  Com</v>
      </c>
      <c r="B83" s="12" t="str">
        <f>IFERROR(__xludf.DUMMYFUNCTION("""COMPUTED_VALUE"""),"VREX-US")</f>
        <v>VREX-US</v>
      </c>
      <c r="C83" s="12"/>
      <c r="D83" s="13">
        <f>IFERROR(__xludf.DUMMYFUNCTION("""COMPUTED_VALUE"""),45712.0)</f>
        <v>45712</v>
      </c>
      <c r="E83" s="13">
        <f>IFERROR(__xludf.DUMMYFUNCTION("""COMPUTED_VALUE"""),45701.0)</f>
        <v>45701</v>
      </c>
      <c r="F83" s="13">
        <f>IFERROR(__xludf.DUMMYFUNCTION("""COMPUTED_VALUE"""),45701.0)</f>
        <v>45701</v>
      </c>
      <c r="G83" s="15" t="s">
        <v>5150</v>
      </c>
      <c r="H83" s="15" t="s">
        <v>5150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 t="str">
        <f>IFERROR(__xludf.DUMMYFUNCTION("""COMPUTED_VALUE"""),"Simulations Plus Inc  Com")</f>
        <v>Simulations Plus Inc  Com</v>
      </c>
      <c r="B84" s="12" t="str">
        <f>IFERROR(__xludf.DUMMYFUNCTION("""COMPUTED_VALUE"""),"SLP-US")</f>
        <v>SLP-US</v>
      </c>
      <c r="C84" s="12"/>
      <c r="D84" s="13">
        <f>IFERROR(__xludf.DUMMYFUNCTION("""COMPUTED_VALUE"""),45712.0)</f>
        <v>45712</v>
      </c>
      <c r="E84" s="13">
        <f>IFERROR(__xludf.DUMMYFUNCTION("""COMPUTED_VALUE"""),45701.0)</f>
        <v>45701</v>
      </c>
      <c r="F84" s="13">
        <f>IFERROR(__xludf.DUMMYFUNCTION("""COMPUTED_VALUE"""),45701.0)</f>
        <v>45701</v>
      </c>
      <c r="G84" s="15" t="s">
        <v>5150</v>
      </c>
      <c r="H84" s="15" t="s">
        <v>5150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 t="str">
        <f>IFERROR(__xludf.DUMMYFUNCTION("""COMPUTED_VALUE"""),"Ptc Inc  Com")</f>
        <v>Ptc Inc  Com</v>
      </c>
      <c r="B85" s="12" t="str">
        <f>IFERROR(__xludf.DUMMYFUNCTION("""COMPUTED_VALUE"""),"PTC-US")</f>
        <v>PTC-US</v>
      </c>
      <c r="C85" s="12"/>
      <c r="D85" s="13">
        <f>IFERROR(__xludf.DUMMYFUNCTION("""COMPUTED_VALUE"""),45713.0)</f>
        <v>45713</v>
      </c>
      <c r="E85" s="13">
        <f>IFERROR(__xludf.DUMMYFUNCTION("""COMPUTED_VALUE"""),45700.0)</f>
        <v>45700</v>
      </c>
      <c r="F85" s="13">
        <f>IFERROR(__xludf.DUMMYFUNCTION("""COMPUTED_VALUE"""),45700.0)</f>
        <v>45700</v>
      </c>
      <c r="G85" s="15" t="s">
        <v>5150</v>
      </c>
      <c r="H85" s="15" t="s">
        <v>5150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 t="str">
        <f>IFERROR(__xludf.DUMMYFUNCTION("""COMPUTED_VALUE"""),"J&amp;J Snack Foods Corp  Com")</f>
        <v>J&amp;J Snack Foods Corp  Com</v>
      </c>
      <c r="B86" s="12" t="str">
        <f>IFERROR(__xludf.DUMMYFUNCTION("""COMPUTED_VALUE"""),"JJSF-US")</f>
        <v>JJSF-US</v>
      </c>
      <c r="C86" s="12"/>
      <c r="D86" s="13">
        <f>IFERROR(__xludf.DUMMYFUNCTION("""COMPUTED_VALUE"""),45713.0)</f>
        <v>45713</v>
      </c>
      <c r="E86" s="13">
        <f>IFERROR(__xludf.DUMMYFUNCTION("""COMPUTED_VALUE"""),45700.0)</f>
        <v>45700</v>
      </c>
      <c r="F86" s="13">
        <f>IFERROR(__xludf.DUMMYFUNCTION("""COMPUTED_VALUE"""),45700.0)</f>
        <v>45700</v>
      </c>
      <c r="G86" s="15" t="s">
        <v>5150</v>
      </c>
      <c r="H86" s="15" t="s">
        <v>5150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 t="str">
        <f>IFERROR(__xludf.DUMMYFUNCTION("""COMPUTED_VALUE"""),"Central Garden &amp; Pet Co  Cl A Nvtg")</f>
        <v>Central Garden &amp; Pet Co  Cl A Nvtg</v>
      </c>
      <c r="B87" s="12" t="str">
        <f>IFERROR(__xludf.DUMMYFUNCTION("""COMPUTED_VALUE"""),"CENTA-US")</f>
        <v>CENTA-US</v>
      </c>
      <c r="C87" s="12"/>
      <c r="D87" s="13">
        <f>IFERROR(__xludf.DUMMYFUNCTION("""COMPUTED_VALUE"""),45713.0)</f>
        <v>45713</v>
      </c>
      <c r="E87" s="13">
        <f>IFERROR(__xludf.DUMMYFUNCTION("""COMPUTED_VALUE"""),45700.0)</f>
        <v>45700</v>
      </c>
      <c r="F87" s="13">
        <f>IFERROR(__xludf.DUMMYFUNCTION("""COMPUTED_VALUE"""),45700.0)</f>
        <v>45700</v>
      </c>
      <c r="G87" s="15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 t="str">
        <f>IFERROR(__xludf.DUMMYFUNCTION("""COMPUTED_VALUE"""),"Embecta Corp  Com Wi")</f>
        <v>Embecta Corp  Com Wi</v>
      </c>
      <c r="B88" s="12" t="str">
        <f>IFERROR(__xludf.DUMMYFUNCTION("""COMPUTED_VALUE"""),"EMBC-US")</f>
        <v>EMBC-US</v>
      </c>
      <c r="C88" s="12"/>
      <c r="D88" s="13">
        <f>IFERROR(__xludf.DUMMYFUNCTION("""COMPUTED_VALUE"""),45714.0)</f>
        <v>45714</v>
      </c>
      <c r="E88" s="13">
        <f>IFERROR(__xludf.DUMMYFUNCTION("""COMPUTED_VALUE"""),45700.0)</f>
        <v>45700</v>
      </c>
      <c r="F88" s="13">
        <f>IFERROR(__xludf.DUMMYFUNCTION("""COMPUTED_VALUE"""),45700.0)</f>
        <v>45700</v>
      </c>
      <c r="G88" s="15" t="s">
        <v>5150</v>
      </c>
      <c r="H88" s="15" t="s">
        <v>5150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 t="str">
        <f>IFERROR(__xludf.DUMMYFUNCTION("""COMPUTED_VALUE"""),"Central Garden &amp; Pet Co  Com")</f>
        <v>Central Garden &amp; Pet Co  Com</v>
      </c>
      <c r="B89" s="12" t="str">
        <f>IFERROR(__xludf.DUMMYFUNCTION("""COMPUTED_VALUE"""),"CENT-US")</f>
        <v>CENT-US</v>
      </c>
      <c r="C89" s="12"/>
      <c r="D89" s="13">
        <f>IFERROR(__xludf.DUMMYFUNCTION("""COMPUTED_VALUE"""),45714.0)</f>
        <v>45714</v>
      </c>
      <c r="E89" s="13">
        <f>IFERROR(__xludf.DUMMYFUNCTION("""COMPUTED_VALUE"""),45700.0)</f>
        <v>45700</v>
      </c>
      <c r="F89" s="13">
        <f>IFERROR(__xludf.DUMMYFUNCTION("""COMPUTED_VALUE"""),45700.0)</f>
        <v>45700</v>
      </c>
      <c r="G89" s="15" t="s">
        <v>5150</v>
      </c>
      <c r="H89" s="15" t="s">
        <v>5150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 t="str">
        <f>IFERROR(__xludf.DUMMYFUNCTION("""COMPUTED_VALUE"""),"Insteel Industries Inc  Com")</f>
        <v>Insteel Industries Inc  Com</v>
      </c>
      <c r="B90" s="12" t="str">
        <f>IFERROR(__xludf.DUMMYFUNCTION("""COMPUTED_VALUE"""),"IIIN-US")</f>
        <v>IIIN-US</v>
      </c>
      <c r="C90" s="12"/>
      <c r="D90" s="13">
        <f>IFERROR(__xludf.DUMMYFUNCTION("""COMPUTED_VALUE"""),45715.0)</f>
        <v>45715</v>
      </c>
      <c r="E90" s="13">
        <f>IFERROR(__xludf.DUMMYFUNCTION("""COMPUTED_VALUE"""),45699.0)</f>
        <v>45699</v>
      </c>
      <c r="F90" s="13">
        <f>IFERROR(__xludf.DUMMYFUNCTION("""COMPUTED_VALUE"""),45699.0)</f>
        <v>45699</v>
      </c>
      <c r="G90" s="15" t="s">
        <v>5150</v>
      </c>
      <c r="H90" s="15" t="s">
        <v>5150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 t="str">
        <f>IFERROR(__xludf.DUMMYFUNCTION("""COMPUTED_VALUE"""),"Plexus Corp  Com")</f>
        <v>Plexus Corp  Com</v>
      </c>
      <c r="B91" s="12" t="str">
        <f>IFERROR(__xludf.DUMMYFUNCTION("""COMPUTED_VALUE"""),"PLXS-US")</f>
        <v>PLXS-US</v>
      </c>
      <c r="C91" s="12"/>
      <c r="D91" s="13">
        <f>IFERROR(__xludf.DUMMYFUNCTION("""COMPUTED_VALUE"""),45715.0)</f>
        <v>45715</v>
      </c>
      <c r="E91" s="13">
        <f>IFERROR(__xludf.DUMMYFUNCTION("""COMPUTED_VALUE"""),45699.0)</f>
        <v>45699</v>
      </c>
      <c r="F91" s="13">
        <f>IFERROR(__xludf.DUMMYFUNCTION("""COMPUTED_VALUE"""),45699.0)</f>
        <v>45699</v>
      </c>
      <c r="G91" s="15" t="s">
        <v>5150</v>
      </c>
      <c r="H91" s="15" t="s">
        <v>5150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 t="str">
        <f>IFERROR(__xludf.DUMMYFUNCTION("""COMPUTED_VALUE"""),"Wafd Inc  Com")</f>
        <v>Wafd Inc  Com</v>
      </c>
      <c r="B92" s="12" t="str">
        <f>IFERROR(__xludf.DUMMYFUNCTION("""COMPUTED_VALUE"""),"WAFD-US")</f>
        <v>WAFD-US</v>
      </c>
      <c r="C92" s="12"/>
      <c r="D92" s="13">
        <f>IFERROR(__xludf.DUMMYFUNCTION("""COMPUTED_VALUE"""),45715.0)</f>
        <v>45715</v>
      </c>
      <c r="E92" s="13">
        <f>IFERROR(__xludf.DUMMYFUNCTION("""COMPUTED_VALUE"""),45699.0)</f>
        <v>45699</v>
      </c>
      <c r="F92" s="13">
        <f>IFERROR(__xludf.DUMMYFUNCTION("""COMPUTED_VALUE"""),45699.0)</f>
        <v>45699</v>
      </c>
      <c r="G92" s="15" t="s">
        <v>5150</v>
      </c>
      <c r="H92" s="15" t="s">
        <v>5150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 t="str">
        <f>IFERROR(__xludf.DUMMYFUNCTION("""COMPUTED_VALUE"""),"Penguin Solutions Inc  Com")</f>
        <v>Penguin Solutions Inc  Com</v>
      </c>
      <c r="B93" s="12" t="str">
        <f>IFERROR(__xludf.DUMMYFUNCTION("""COMPUTED_VALUE"""),"PENG-US")</f>
        <v>PENG-US</v>
      </c>
      <c r="C93" s="12"/>
      <c r="D93" s="13">
        <f>IFERROR(__xludf.DUMMYFUNCTION("""COMPUTED_VALUE"""),45715.0)</f>
        <v>45715</v>
      </c>
      <c r="E93" s="13">
        <f>IFERROR(__xludf.DUMMYFUNCTION("""COMPUTED_VALUE"""),45695.0)</f>
        <v>45695</v>
      </c>
      <c r="F93" s="13">
        <f>IFERROR(__xludf.DUMMYFUNCTION("""COMPUTED_VALUE"""),45695.0)</f>
        <v>45695</v>
      </c>
      <c r="G93" s="16" t="s">
        <v>5151</v>
      </c>
      <c r="H93" s="16" t="s">
        <v>5151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 t="str">
        <f>IFERROR(__xludf.DUMMYFUNCTION("""COMPUTED_VALUE"""),"Tyson Foods Inc  Cl A")</f>
        <v>Tyson Foods Inc  Cl A</v>
      </c>
      <c r="B94" s="12" t="str">
        <f>IFERROR(__xludf.DUMMYFUNCTION("""COMPUTED_VALUE"""),"TSN-US")</f>
        <v>TSN-US</v>
      </c>
      <c r="C94" s="12"/>
      <c r="D94" s="13">
        <f>IFERROR(__xludf.DUMMYFUNCTION("""COMPUTED_VALUE"""),45715.0)</f>
        <v>45715</v>
      </c>
      <c r="E94" s="13">
        <f>IFERROR(__xludf.DUMMYFUNCTION("""COMPUTED_VALUE"""),45694.0)</f>
        <v>45694</v>
      </c>
      <c r="F94" s="13">
        <f>IFERROR(__xludf.DUMMYFUNCTION("""COMPUTED_VALUE"""),45694.0)</f>
        <v>45694</v>
      </c>
      <c r="G94" s="15" t="s">
        <v>5150</v>
      </c>
      <c r="H94" s="15" t="s">
        <v>5150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 t="str">
        <f>IFERROR(__xludf.DUMMYFUNCTION("""COMPUTED_VALUE"""),"Mueller Water Products Inc  Cl A")</f>
        <v>Mueller Water Products Inc  Cl A</v>
      </c>
      <c r="B95" s="12" t="str">
        <f>IFERROR(__xludf.DUMMYFUNCTION("""COMPUTED_VALUE"""),"MWA-US")</f>
        <v>MWA-US</v>
      </c>
      <c r="C95" s="12"/>
      <c r="D95" s="13">
        <f>IFERROR(__xludf.DUMMYFUNCTION("""COMPUTED_VALUE"""),45715.0)</f>
        <v>45715</v>
      </c>
      <c r="E95" s="13">
        <f>IFERROR(__xludf.DUMMYFUNCTION("""COMPUTED_VALUE"""),45694.0)</f>
        <v>45694</v>
      </c>
      <c r="F95" s="13">
        <f>IFERROR(__xludf.DUMMYFUNCTION("""COMPUTED_VALUE"""),45694.0)</f>
        <v>45694</v>
      </c>
      <c r="G95" s="15" t="s">
        <v>5150</v>
      </c>
      <c r="H95" s="15" t="s">
        <v>5150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 t="str">
        <f>IFERROR(__xludf.DUMMYFUNCTION("""COMPUTED_VALUE"""),"Pricesmart Inc  Com")</f>
        <v>Pricesmart Inc  Com</v>
      </c>
      <c r="B96" s="12" t="str">
        <f>IFERROR(__xludf.DUMMYFUNCTION("""COMPUTED_VALUE"""),"PSMT-US")</f>
        <v>PSMT-US</v>
      </c>
      <c r="C96" s="12"/>
      <c r="D96" s="13">
        <f>IFERROR(__xludf.DUMMYFUNCTION("""COMPUTED_VALUE"""),45716.0)</f>
        <v>45716</v>
      </c>
      <c r="E96" s="13">
        <f>IFERROR(__xludf.DUMMYFUNCTION("""COMPUTED_VALUE"""),45694.0)</f>
        <v>45694</v>
      </c>
      <c r="F96" s="13">
        <f>IFERROR(__xludf.DUMMYFUNCTION("""COMPUTED_VALUE"""),45694.0)</f>
        <v>45694</v>
      </c>
      <c r="G96" s="15" t="s">
        <v>5150</v>
      </c>
      <c r="H96" s="15" t="s">
        <v>5150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 t="str">
        <f>IFERROR(__xludf.DUMMYFUNCTION("""COMPUTED_VALUE"""),"Enerpac Tool Group Corp  Cl A")</f>
        <v>Enerpac Tool Group Corp  Cl A</v>
      </c>
      <c r="B97" s="12" t="str">
        <f>IFERROR(__xludf.DUMMYFUNCTION("""COMPUTED_VALUE"""),"EPAC-US")</f>
        <v>EPAC-US</v>
      </c>
      <c r="C97" s="12"/>
      <c r="D97" s="13">
        <f>IFERROR(__xludf.DUMMYFUNCTION("""COMPUTED_VALUE"""),45716.0)</f>
        <v>45716</v>
      </c>
      <c r="E97" s="13">
        <f>IFERROR(__xludf.DUMMYFUNCTION("""COMPUTED_VALUE"""),45694.0)</f>
        <v>45694</v>
      </c>
      <c r="F97" s="13">
        <f>IFERROR(__xludf.DUMMYFUNCTION("""COMPUTED_VALUE"""),45694.0)</f>
        <v>45694</v>
      </c>
      <c r="G97" s="15" t="s">
        <v>5150</v>
      </c>
      <c r="H97" s="15" t="s">
        <v>5150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 t="str">
        <f>IFERROR(__xludf.DUMMYFUNCTION("""COMPUTED_VALUE"""),"Edgewell Personal Care Co  Com")</f>
        <v>Edgewell Personal Care Co  Com</v>
      </c>
      <c r="B98" s="12" t="str">
        <f>IFERROR(__xludf.DUMMYFUNCTION("""COMPUTED_VALUE"""),"EPC-US")</f>
        <v>EPC-US</v>
      </c>
      <c r="C98" s="12"/>
      <c r="D98" s="13">
        <f>IFERROR(__xludf.DUMMYFUNCTION("""COMPUTED_VALUE"""),45716.0)</f>
        <v>45716</v>
      </c>
      <c r="E98" s="13">
        <f>IFERROR(__xludf.DUMMYFUNCTION("""COMPUTED_VALUE"""),45694.0)</f>
        <v>45694</v>
      </c>
      <c r="F98" s="13">
        <f>IFERROR(__xludf.DUMMYFUNCTION("""COMPUTED_VALUE"""),45694.0)</f>
        <v>45694</v>
      </c>
      <c r="G98" s="15" t="s">
        <v>5150</v>
      </c>
      <c r="H98" s="15" t="s">
        <v>5150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 t="str">
        <f>IFERROR(__xludf.DUMMYFUNCTION("""COMPUTED_VALUE"""),"Beazer Homes Usa Inc  Com")</f>
        <v>Beazer Homes Usa Inc  Com</v>
      </c>
      <c r="B99" s="12" t="str">
        <f>IFERROR(__xludf.DUMMYFUNCTION("""COMPUTED_VALUE"""),"BZH-US")</f>
        <v>BZH-US</v>
      </c>
      <c r="C99" s="12"/>
      <c r="D99" s="13">
        <f>IFERROR(__xludf.DUMMYFUNCTION("""COMPUTED_VALUE"""),45719.0)</f>
        <v>45719</v>
      </c>
      <c r="E99" s="13">
        <f>IFERROR(__xludf.DUMMYFUNCTION("""COMPUTED_VALUE"""),45694.0)</f>
        <v>45694</v>
      </c>
      <c r="F99" s="13">
        <f>IFERROR(__xludf.DUMMYFUNCTION("""COMPUTED_VALUE"""),45694.0)</f>
        <v>45694</v>
      </c>
      <c r="G99" s="15" t="s">
        <v>5150</v>
      </c>
      <c r="H99" s="15" t="s">
        <v>5150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 t="str">
        <f>IFERROR(__xludf.DUMMYFUNCTION("""COMPUTED_VALUE"""),"Surmodics Inc  Com")</f>
        <v>Surmodics Inc  Com</v>
      </c>
      <c r="B100" s="12" t="str">
        <f>IFERROR(__xludf.DUMMYFUNCTION("""COMPUTED_VALUE"""),"SRDX-US")</f>
        <v>SRDX-US</v>
      </c>
      <c r="C100" s="12"/>
      <c r="D100" s="13">
        <f>IFERROR(__xludf.DUMMYFUNCTION("""COMPUTED_VALUE"""),45719.0)</f>
        <v>45719</v>
      </c>
      <c r="E100" s="13">
        <f>IFERROR(__xludf.DUMMYFUNCTION("""COMPUTED_VALUE"""),45694.0)</f>
        <v>45694</v>
      </c>
      <c r="F100" s="13">
        <f>IFERROR(__xludf.DUMMYFUNCTION("""COMPUTED_VALUE"""),45694.0)</f>
        <v>45694</v>
      </c>
      <c r="G100" s="15" t="s">
        <v>5150</v>
      </c>
      <c r="H100" s="15" t="s">
        <v>5150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 t="str">
        <f>IFERROR(__xludf.DUMMYFUNCTION("""COMPUTED_VALUE"""),"Atmos Energy Corp  Com")</f>
        <v>Atmos Energy Corp  Com</v>
      </c>
      <c r="B101" s="12" t="str">
        <f>IFERROR(__xludf.DUMMYFUNCTION("""COMPUTED_VALUE"""),"ATO-US")</f>
        <v>ATO-US</v>
      </c>
      <c r="C101" s="12"/>
      <c r="D101" s="13">
        <f>IFERROR(__xludf.DUMMYFUNCTION("""COMPUTED_VALUE"""),45720.0)</f>
        <v>45720</v>
      </c>
      <c r="E101" s="13">
        <f>IFERROR(__xludf.DUMMYFUNCTION("""COMPUTED_VALUE"""),45693.0)</f>
        <v>45693</v>
      </c>
      <c r="F101" s="13">
        <f>IFERROR(__xludf.DUMMYFUNCTION("""COMPUTED_VALUE"""),45693.0)</f>
        <v>45693</v>
      </c>
      <c r="G101" s="15" t="s">
        <v>5150</v>
      </c>
      <c r="H101" s="15" t="s">
        <v>5150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 t="str">
        <f>IFERROR(__xludf.DUMMYFUNCTION("""COMPUTED_VALUE"""),"Berry Plastics Group Inc  Com")</f>
        <v>Berry Plastics Group Inc  Com</v>
      </c>
      <c r="B102" s="12" t="str">
        <f>IFERROR(__xludf.DUMMYFUNCTION("""COMPUTED_VALUE"""),"BERY-US")</f>
        <v>BERY-US</v>
      </c>
      <c r="C102" s="12"/>
      <c r="D102" s="13">
        <f>IFERROR(__xludf.DUMMYFUNCTION("""COMPUTED_VALUE"""),45720.0)</f>
        <v>45720</v>
      </c>
      <c r="E102" s="13">
        <f>IFERROR(__xludf.DUMMYFUNCTION("""COMPUTED_VALUE"""),45693.0)</f>
        <v>45693</v>
      </c>
      <c r="F102" s="13">
        <f>IFERROR(__xludf.DUMMYFUNCTION("""COMPUTED_VALUE"""),45693.0)</f>
        <v>45693</v>
      </c>
      <c r="G102" s="16" t="s">
        <v>5150</v>
      </c>
      <c r="H102" s="16" t="s">
        <v>5150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 t="str">
        <f>IFERROR(__xludf.DUMMYFUNCTION("""COMPUTED_VALUE"""),"Twist Bioscience Corp  Com")</f>
        <v>Twist Bioscience Corp  Com</v>
      </c>
      <c r="B103" s="12" t="str">
        <f>IFERROR(__xludf.DUMMYFUNCTION("""COMPUTED_VALUE"""),"TWST-US")</f>
        <v>TWST-US</v>
      </c>
      <c r="C103" s="12"/>
      <c r="D103" s="13">
        <f>IFERROR(__xludf.DUMMYFUNCTION("""COMPUTED_VALUE"""),45720.0)</f>
        <v>45720</v>
      </c>
      <c r="E103" s="13">
        <f>IFERROR(__xludf.DUMMYFUNCTION("""COMPUTED_VALUE"""),45693.0)</f>
        <v>45693</v>
      </c>
      <c r="F103" s="13">
        <f>IFERROR(__xludf.DUMMYFUNCTION("""COMPUTED_VALUE"""),45693.0)</f>
        <v>45693</v>
      </c>
      <c r="G103" s="15" t="s">
        <v>5150</v>
      </c>
      <c r="H103" s="15" t="s">
        <v>5150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 t="str">
        <f>IFERROR(__xludf.DUMMYFUNCTION("""COMPUTED_VALUE"""),"Emerson Electric Co  Com")</f>
        <v>Emerson Electric Co  Com</v>
      </c>
      <c r="B104" s="12" t="str">
        <f>IFERROR(__xludf.DUMMYFUNCTION("""COMPUTED_VALUE"""),"EMR-US")</f>
        <v>EMR-US</v>
      </c>
      <c r="C104" s="12"/>
      <c r="D104" s="13">
        <f>IFERROR(__xludf.DUMMYFUNCTION("""COMPUTED_VALUE"""),45721.0)</f>
        <v>45721</v>
      </c>
      <c r="E104" s="13">
        <f>IFERROR(__xludf.DUMMYFUNCTION("""COMPUTED_VALUE"""),45692.0)</f>
        <v>45692</v>
      </c>
      <c r="F104" s="13">
        <f>IFERROR(__xludf.DUMMYFUNCTION("""COMPUTED_VALUE"""),45692.0)</f>
        <v>45692</v>
      </c>
      <c r="G104" s="15" t="s">
        <v>5150</v>
      </c>
      <c r="H104" s="15" t="s">
        <v>5150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 t="str">
        <f>IFERROR(__xludf.DUMMYFUNCTION("""COMPUTED_VALUE"""),"Rockwell Automation Inc  Com")</f>
        <v>Rockwell Automation Inc  Com</v>
      </c>
      <c r="B105" s="12" t="str">
        <f>IFERROR(__xludf.DUMMYFUNCTION("""COMPUTED_VALUE"""),"ROK-US")</f>
        <v>ROK-US</v>
      </c>
      <c r="C105" s="12"/>
      <c r="D105" s="13">
        <f>IFERROR(__xludf.DUMMYFUNCTION("""COMPUTED_VALUE"""),45721.0)</f>
        <v>45721</v>
      </c>
      <c r="E105" s="13">
        <f>IFERROR(__xludf.DUMMYFUNCTION("""COMPUTED_VALUE"""),45692.0)</f>
        <v>45692</v>
      </c>
      <c r="F105" s="13">
        <f>IFERROR(__xludf.DUMMYFUNCTION("""COMPUTED_VALUE"""),45692.0)</f>
        <v>45692</v>
      </c>
      <c r="G105" s="15" t="s">
        <v>5150</v>
      </c>
      <c r="H105" s="15" t="s">
        <v>5150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 t="str">
        <f>IFERROR(__xludf.DUMMYFUNCTION("""COMPUTED_VALUE"""),"Franklin Resources Inc  Com")</f>
        <v>Franklin Resources Inc  Com</v>
      </c>
      <c r="B106" s="12" t="str">
        <f>IFERROR(__xludf.DUMMYFUNCTION("""COMPUTED_VALUE"""),"BEN-US")</f>
        <v>BEN-US</v>
      </c>
      <c r="C106" s="12"/>
      <c r="D106" s="13">
        <f>IFERROR(__xludf.DUMMYFUNCTION("""COMPUTED_VALUE"""),45721.0)</f>
        <v>45721</v>
      </c>
      <c r="E106" s="13">
        <f>IFERROR(__xludf.DUMMYFUNCTION("""COMPUTED_VALUE"""),45692.0)</f>
        <v>45692</v>
      </c>
      <c r="F106" s="13">
        <f>IFERROR(__xludf.DUMMYFUNCTION("""COMPUTED_VALUE"""),45692.0)</f>
        <v>45692</v>
      </c>
      <c r="G106" s="15" t="s">
        <v>5150</v>
      </c>
      <c r="H106" s="15" t="s">
        <v>5150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 t="str">
        <f>IFERROR(__xludf.DUMMYFUNCTION("""COMPUTED_VALUE"""),"Moog Inc  Cl A")</f>
        <v>Moog Inc  Cl A</v>
      </c>
      <c r="B107" s="12" t="str">
        <f>IFERROR(__xludf.DUMMYFUNCTION("""COMPUTED_VALUE"""),"MOG.A-US")</f>
        <v>MOG.A-US</v>
      </c>
      <c r="C107" s="12"/>
      <c r="D107" s="13">
        <f>IFERROR(__xludf.DUMMYFUNCTION("""COMPUTED_VALUE"""),45721.0)</f>
        <v>45721</v>
      </c>
      <c r="E107" s="13">
        <f>IFERROR(__xludf.DUMMYFUNCTION("""COMPUTED_VALUE"""),45692.0)</f>
        <v>45692</v>
      </c>
      <c r="F107" s="13">
        <f>IFERROR(__xludf.DUMMYFUNCTION("""COMPUTED_VALUE"""),45692.0)</f>
        <v>45692</v>
      </c>
      <c r="G107" s="15" t="s">
        <v>5150</v>
      </c>
      <c r="H107" s="15" t="s">
        <v>5150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 t="str">
        <f>IFERROR(__xludf.DUMMYFUNCTION("""COMPUTED_VALUE"""),"Dolby Laboratories Inc  Cl A")</f>
        <v>Dolby Laboratories Inc  Cl A</v>
      </c>
      <c r="B108" s="12" t="str">
        <f>IFERROR(__xludf.DUMMYFUNCTION("""COMPUTED_VALUE"""),"DLB-US")</f>
        <v>DLB-US</v>
      </c>
      <c r="C108" s="12"/>
      <c r="D108" s="13">
        <f>IFERROR(__xludf.DUMMYFUNCTION("""COMPUTED_VALUE"""),45721.0)</f>
        <v>45721</v>
      </c>
      <c r="E108" s="13">
        <f>IFERROR(__xludf.DUMMYFUNCTION("""COMPUTED_VALUE"""),45692.0)</f>
        <v>45692</v>
      </c>
      <c r="F108" s="13">
        <f>IFERROR(__xludf.DUMMYFUNCTION("""COMPUTED_VALUE"""),45692.0)</f>
        <v>45692</v>
      </c>
      <c r="G108" s="15" t="s">
        <v>5150</v>
      </c>
      <c r="H108" s="15" t="s">
        <v>5150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 t="str">
        <f>IFERROR(__xludf.DUMMYFUNCTION("""COMPUTED_VALUE"""),"Esco Technologies Inc  Com")</f>
        <v>Esco Technologies Inc  Com</v>
      </c>
      <c r="B109" s="12" t="str">
        <f>IFERROR(__xludf.DUMMYFUNCTION("""COMPUTED_VALUE"""),"ESE-US")</f>
        <v>ESE-US</v>
      </c>
      <c r="C109" s="12"/>
      <c r="D109" s="13">
        <f>IFERROR(__xludf.DUMMYFUNCTION("""COMPUTED_VALUE"""),45721.0)</f>
        <v>45721</v>
      </c>
      <c r="E109" s="13">
        <f>IFERROR(__xludf.DUMMYFUNCTION("""COMPUTED_VALUE"""),45692.0)</f>
        <v>45692</v>
      </c>
      <c r="F109" s="13">
        <f>IFERROR(__xludf.DUMMYFUNCTION("""COMPUTED_VALUE"""),45692.0)</f>
        <v>45692</v>
      </c>
      <c r="G109" s="15" t="s">
        <v>5150</v>
      </c>
      <c r="H109" s="15" t="s">
        <v>5150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 t="str">
        <f>IFERROR(__xludf.DUMMYFUNCTION("""COMPUTED_VALUE"""),"Digi International Inc  Com")</f>
        <v>Digi International Inc  Com</v>
      </c>
      <c r="B110" s="12" t="str">
        <f>IFERROR(__xludf.DUMMYFUNCTION("""COMPUTED_VALUE"""),"DGII-US")</f>
        <v>DGII-US</v>
      </c>
      <c r="C110" s="12"/>
      <c r="D110" s="13">
        <f>IFERROR(__xludf.DUMMYFUNCTION("""COMPUTED_VALUE"""),45722.0)</f>
        <v>45722</v>
      </c>
      <c r="E110" s="13">
        <f>IFERROR(__xludf.DUMMYFUNCTION("""COMPUTED_VALUE"""),45691.0)</f>
        <v>45691</v>
      </c>
      <c r="F110" s="13">
        <f>IFERROR(__xludf.DUMMYFUNCTION("""COMPUTED_VALUE"""),45691.0)</f>
        <v>45691</v>
      </c>
      <c r="G110" s="16" t="s">
        <v>5150</v>
      </c>
      <c r="H110" s="16" t="s">
        <v>5150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 t="str">
        <f>IFERROR(__xludf.DUMMYFUNCTION("""COMPUTED_VALUE"""),"Ugi Corp  Com")</f>
        <v>Ugi Corp  Com</v>
      </c>
      <c r="B111" s="12" t="str">
        <f>IFERROR(__xludf.DUMMYFUNCTION("""COMPUTED_VALUE"""),"UGI-US")</f>
        <v>UGI-US</v>
      </c>
      <c r="C111" s="12"/>
      <c r="D111" s="13">
        <f>IFERROR(__xludf.DUMMYFUNCTION("""COMPUTED_VALUE"""),45722.0)</f>
        <v>45722</v>
      </c>
      <c r="E111" s="13">
        <f>IFERROR(__xludf.DUMMYFUNCTION("""COMPUTED_VALUE"""),45688.0)</f>
        <v>45688</v>
      </c>
      <c r="F111" s="13">
        <f>IFERROR(__xludf.DUMMYFUNCTION("""COMPUTED_VALUE"""),45688.0)</f>
        <v>45688</v>
      </c>
      <c r="G111" s="15" t="s">
        <v>5150</v>
      </c>
      <c r="H111" s="15" t="s">
        <v>5150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 t="str">
        <f>IFERROR(__xludf.DUMMYFUNCTION("""COMPUTED_VALUE"""),"Walgreens Boots Alliance  Com")</f>
        <v>Walgreens Boots Alliance  Com</v>
      </c>
      <c r="B112" s="12" t="str">
        <f>IFERROR(__xludf.DUMMYFUNCTION("""COMPUTED_VALUE"""),"WBA-US")</f>
        <v>WBA-US</v>
      </c>
      <c r="C112" s="12"/>
      <c r="D112" s="13">
        <f>IFERROR(__xludf.DUMMYFUNCTION("""COMPUTED_VALUE"""),45722.0)</f>
        <v>45722</v>
      </c>
      <c r="E112" s="13">
        <f>IFERROR(__xludf.DUMMYFUNCTION("""COMPUTED_VALUE"""),45687.0)</f>
        <v>45687</v>
      </c>
      <c r="F112" s="13">
        <f>IFERROR(__xludf.DUMMYFUNCTION("""COMPUTED_VALUE"""),45687.0)</f>
        <v>45687</v>
      </c>
      <c r="G112" s="15" t="s">
        <v>5150</v>
      </c>
      <c r="H112" s="15" t="s">
        <v>5150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 t="str">
        <f>IFERROR(__xludf.DUMMYFUNCTION("""COMPUTED_VALUE"""),"Post Holdings Inc  Com")</f>
        <v>Post Holdings Inc  Com</v>
      </c>
      <c r="B113" s="12" t="str">
        <f>IFERROR(__xludf.DUMMYFUNCTION("""COMPUTED_VALUE"""),"POST-US")</f>
        <v>POST-US</v>
      </c>
      <c r="C113" s="12"/>
      <c r="D113" s="13">
        <f>IFERROR(__xludf.DUMMYFUNCTION("""COMPUTED_VALUE"""),45722.0)</f>
        <v>45722</v>
      </c>
      <c r="E113" s="13">
        <f>IFERROR(__xludf.DUMMYFUNCTION("""COMPUTED_VALUE"""),45687.0)</f>
        <v>45687</v>
      </c>
      <c r="F113" s="13">
        <f>IFERROR(__xludf.DUMMYFUNCTION("""COMPUTED_VALUE"""),45687.0)</f>
        <v>45687</v>
      </c>
      <c r="G113" s="15" t="s">
        <v>5150</v>
      </c>
      <c r="H113" s="15" t="s">
        <v>5150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 t="str">
        <f>IFERROR(__xludf.DUMMYFUNCTION("""COMPUTED_VALUE"""),"Spire Inc  Com")</f>
        <v>Spire Inc  Com</v>
      </c>
      <c r="B114" s="12" t="str">
        <f>IFERROR(__xludf.DUMMYFUNCTION("""COMPUTED_VALUE"""),"SR-US")</f>
        <v>SR-US</v>
      </c>
      <c r="C114" s="12"/>
      <c r="D114" s="13">
        <f>IFERROR(__xludf.DUMMYFUNCTION("""COMPUTED_VALUE"""),45722.0)</f>
        <v>45722</v>
      </c>
      <c r="E114" s="13">
        <f>IFERROR(__xludf.DUMMYFUNCTION("""COMPUTED_VALUE"""),45687.0)</f>
        <v>45687</v>
      </c>
      <c r="F114" s="13">
        <f>IFERROR(__xludf.DUMMYFUNCTION("""COMPUTED_VALUE"""),45687.0)</f>
        <v>45687</v>
      </c>
      <c r="G114" s="15" t="s">
        <v>5150</v>
      </c>
      <c r="H114" s="15" t="s">
        <v>5150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 t="str">
        <f>IFERROR(__xludf.DUMMYFUNCTION("""COMPUTED_VALUE"""),"Atkore Inc  Com")</f>
        <v>Atkore Inc  Com</v>
      </c>
      <c r="B115" s="12" t="str">
        <f>IFERROR(__xludf.DUMMYFUNCTION("""COMPUTED_VALUE"""),"ATKR-US")</f>
        <v>ATKR-US</v>
      </c>
      <c r="C115" s="12"/>
      <c r="D115" s="13">
        <f>IFERROR(__xludf.DUMMYFUNCTION("""COMPUTED_VALUE"""),45722.0)</f>
        <v>45722</v>
      </c>
      <c r="E115" s="13">
        <f>IFERROR(__xludf.DUMMYFUNCTION("""COMPUTED_VALUE"""),45687.0)</f>
        <v>45687</v>
      </c>
      <c r="F115" s="13">
        <f>IFERROR(__xludf.DUMMYFUNCTION("""COMPUTED_VALUE"""),45687.0)</f>
        <v>45687</v>
      </c>
      <c r="G115" s="15" t="s">
        <v>5150</v>
      </c>
      <c r="H115" s="15" t="s">
        <v>5150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 t="str">
        <f>IFERROR(__xludf.DUMMYFUNCTION("""COMPUTED_VALUE"""),"Azenta Inc  Com")</f>
        <v>Azenta Inc  Com</v>
      </c>
      <c r="B116" s="12" t="str">
        <f>IFERROR(__xludf.DUMMYFUNCTION("""COMPUTED_VALUE"""),"AZTA-US")</f>
        <v>AZTA-US</v>
      </c>
      <c r="C116" s="12"/>
      <c r="D116" s="13">
        <f>IFERROR(__xludf.DUMMYFUNCTION("""COMPUTED_VALUE"""),45358.0)</f>
        <v>45358</v>
      </c>
      <c r="E116" s="13">
        <f>IFERROR(__xludf.DUMMYFUNCTION("""COMPUTED_VALUE"""),45687.0)</f>
        <v>45687</v>
      </c>
      <c r="F116" s="13">
        <f>IFERROR(__xludf.DUMMYFUNCTION("""COMPUTED_VALUE"""),45687.0)</f>
        <v>45687</v>
      </c>
      <c r="G116" s="15" t="s">
        <v>5150</v>
      </c>
      <c r="H116" s="15" t="s">
        <v>5150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 t="str">
        <f>IFERROR(__xludf.DUMMYFUNCTION("""COMPUTED_VALUE"""),"Jacobs Solutions Inc  Com")</f>
        <v>Jacobs Solutions Inc  Com</v>
      </c>
      <c r="B117" s="12" t="str">
        <f>IFERROR(__xludf.DUMMYFUNCTION("""COMPUTED_VALUE"""),"J-US")</f>
        <v>J-US</v>
      </c>
      <c r="C117" s="12"/>
      <c r="D117" s="13">
        <f>IFERROR(__xludf.DUMMYFUNCTION("""COMPUTED_VALUE"""),45359.0)</f>
        <v>45359</v>
      </c>
      <c r="E117" s="13">
        <f>IFERROR(__xludf.DUMMYFUNCTION("""COMPUTED_VALUE"""),45686.0)</f>
        <v>45686</v>
      </c>
      <c r="F117" s="13">
        <f>IFERROR(__xludf.DUMMYFUNCTION("""COMPUTED_VALUE"""),45686.0)</f>
        <v>45686</v>
      </c>
      <c r="G117" s="15" t="s">
        <v>5150</v>
      </c>
      <c r="H117" s="15" t="s">
        <v>5150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 t="str">
        <f>IFERROR(__xludf.DUMMYFUNCTION("""COMPUTED_VALUE"""),"Woodward Inc  Com")</f>
        <v>Woodward Inc  Com</v>
      </c>
      <c r="B118" s="12" t="str">
        <f>IFERROR(__xludf.DUMMYFUNCTION("""COMPUTED_VALUE"""),"WWD-US")</f>
        <v>WWD-US</v>
      </c>
      <c r="C118" s="12"/>
      <c r="D118" s="13">
        <f>IFERROR(__xludf.DUMMYFUNCTION("""COMPUTED_VALUE"""),45726.0)</f>
        <v>45726</v>
      </c>
      <c r="E118" s="13">
        <f>IFERROR(__xludf.DUMMYFUNCTION("""COMPUTED_VALUE"""),45686.0)</f>
        <v>45686</v>
      </c>
      <c r="F118" s="13">
        <f>IFERROR(__xludf.DUMMYFUNCTION("""COMPUTED_VALUE"""),45686.0)</f>
        <v>45686</v>
      </c>
      <c r="G118" s="15" t="s">
        <v>5150</v>
      </c>
      <c r="H118" s="15" t="s">
        <v>5150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 t="str">
        <f>IFERROR(__xludf.DUMMYFUNCTION("""COMPUTED_VALUE"""),"Visa Inc  Cl A")</f>
        <v>Visa Inc  Cl A</v>
      </c>
      <c r="B119" s="12" t="str">
        <f>IFERROR(__xludf.DUMMYFUNCTION("""COMPUTED_VALUE"""),"V-US")</f>
        <v>V-US</v>
      </c>
      <c r="C119" s="12"/>
      <c r="D119" s="13">
        <f>IFERROR(__xludf.DUMMYFUNCTION("""COMPUTED_VALUE"""),45727.0)</f>
        <v>45727</v>
      </c>
      <c r="E119" s="13">
        <f>IFERROR(__xludf.DUMMYFUNCTION("""COMPUTED_VALUE"""),45685.0)</f>
        <v>45685</v>
      </c>
      <c r="F119" s="13">
        <f>IFERROR(__xludf.DUMMYFUNCTION("""COMPUTED_VALUE"""),45685.0)</f>
        <v>45685</v>
      </c>
      <c r="G119" s="15" t="s">
        <v>5150</v>
      </c>
      <c r="H119" s="15" t="s">
        <v>5150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 t="str">
        <f>IFERROR(__xludf.DUMMYFUNCTION("""COMPUTED_VALUE"""),"Becton Dickinson &amp; Co  Com")</f>
        <v>Becton Dickinson &amp; Co  Com</v>
      </c>
      <c r="B120" s="12" t="str">
        <f>IFERROR(__xludf.DUMMYFUNCTION("""COMPUTED_VALUE"""),"BDX-US")</f>
        <v>BDX-US</v>
      </c>
      <c r="C120" s="12"/>
      <c r="D120" s="13">
        <f>IFERROR(__xludf.DUMMYFUNCTION("""COMPUTED_VALUE"""),45727.0)</f>
        <v>45727</v>
      </c>
      <c r="E120" s="13">
        <f>IFERROR(__xludf.DUMMYFUNCTION("""COMPUTED_VALUE"""),45685.0)</f>
        <v>45685</v>
      </c>
      <c r="F120" s="13">
        <f>IFERROR(__xludf.DUMMYFUNCTION("""COMPUTED_VALUE"""),45685.0)</f>
        <v>45685</v>
      </c>
      <c r="G120" s="15" t="s">
        <v>5150</v>
      </c>
      <c r="H120" s="15" t="s">
        <v>5150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 t="str">
        <f>IFERROR(__xludf.DUMMYFUNCTION("""COMPUTED_VALUE"""),"Bellring Brands Inc  Com")</f>
        <v>Bellring Brands Inc  Com</v>
      </c>
      <c r="B121" s="12" t="str">
        <f>IFERROR(__xludf.DUMMYFUNCTION("""COMPUTED_VALUE"""),"BRBR-US")</f>
        <v>BRBR-US</v>
      </c>
      <c r="C121" s="12"/>
      <c r="D121" s="13">
        <f>IFERROR(__xludf.DUMMYFUNCTION("""COMPUTED_VALUE"""),45727.0)</f>
        <v>45727</v>
      </c>
      <c r="E121" s="13">
        <f>IFERROR(__xludf.DUMMYFUNCTION("""COMPUTED_VALUE"""),45685.0)</f>
        <v>45685</v>
      </c>
      <c r="F121" s="13">
        <f>IFERROR(__xludf.DUMMYFUNCTION("""COMPUTED_VALUE"""),45685.0)</f>
        <v>45685</v>
      </c>
      <c r="G121" s="15" t="s">
        <v>5150</v>
      </c>
      <c r="H121" s="15" t="s">
        <v>5150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 t="str">
        <f>IFERROR(__xludf.DUMMYFUNCTION("""COMPUTED_VALUE"""),"Hormel Foods Corp  Com")</f>
        <v>Hormel Foods Corp  Com</v>
      </c>
      <c r="B122" s="12" t="str">
        <f>IFERROR(__xludf.DUMMYFUNCTION("""COMPUTED_VALUE"""),"HRL-US")</f>
        <v>HRL-US</v>
      </c>
      <c r="C122" s="12"/>
      <c r="D122" s="13">
        <f>IFERROR(__xludf.DUMMYFUNCTION("""COMPUTED_VALUE"""),45727.0)</f>
        <v>45727</v>
      </c>
      <c r="E122" s="13">
        <f>IFERROR(__xludf.DUMMYFUNCTION("""COMPUTED_VALUE"""),45685.0)</f>
        <v>45685</v>
      </c>
      <c r="F122" s="13">
        <f>IFERROR(__xludf.DUMMYFUNCTION("""COMPUTED_VALUE"""),45685.0)</f>
        <v>45685</v>
      </c>
      <c r="G122" s="15" t="s">
        <v>5150</v>
      </c>
      <c r="H122" s="15" t="s">
        <v>5150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 t="str">
        <f>IFERROR(__xludf.DUMMYFUNCTION("""COMPUTED_VALUE"""),"Valvoline Inc  Com")</f>
        <v>Valvoline Inc  Com</v>
      </c>
      <c r="B123" s="12" t="str">
        <f>IFERROR(__xludf.DUMMYFUNCTION("""COMPUTED_VALUE"""),"VVV-US")</f>
        <v>VVV-US</v>
      </c>
      <c r="C123" s="12"/>
      <c r="D123" s="13">
        <f>IFERROR(__xludf.DUMMYFUNCTION("""COMPUTED_VALUE"""),45727.0)</f>
        <v>45727</v>
      </c>
      <c r="E123" s="13">
        <f>IFERROR(__xludf.DUMMYFUNCTION("""COMPUTED_VALUE"""),45685.0)</f>
        <v>45685</v>
      </c>
      <c r="F123" s="13">
        <f>IFERROR(__xludf.DUMMYFUNCTION("""COMPUTED_VALUE"""),45685.0)</f>
        <v>45685</v>
      </c>
      <c r="G123" s="15" t="s">
        <v>5150</v>
      </c>
      <c r="H123" s="15" t="s">
        <v>5150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 t="str">
        <f>IFERROR(__xludf.DUMMYFUNCTION("""COMPUTED_VALUE"""),"Capitol Federal Financial  Com")</f>
        <v>Capitol Federal Financial  Com</v>
      </c>
      <c r="B124" s="12" t="str">
        <f>IFERROR(__xludf.DUMMYFUNCTION("""COMPUTED_VALUE"""),"CFFN-US")</f>
        <v>CFFN-US</v>
      </c>
      <c r="C124" s="12"/>
      <c r="D124" s="13">
        <f>IFERROR(__xludf.DUMMYFUNCTION("""COMPUTED_VALUE"""),45728.0)</f>
        <v>45728</v>
      </c>
      <c r="E124" s="13">
        <f>IFERROR(__xludf.DUMMYFUNCTION("""COMPUTED_VALUE"""),45685.0)</f>
        <v>45685</v>
      </c>
      <c r="F124" s="13">
        <f>IFERROR(__xludf.DUMMYFUNCTION("""COMPUTED_VALUE"""),45685.0)</f>
        <v>45685</v>
      </c>
      <c r="G124" s="15" t="s">
        <v>5150</v>
      </c>
      <c r="H124" s="15" t="s">
        <v>5150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 t="str">
        <f>IFERROR(__xludf.DUMMYFUNCTION("""COMPUTED_VALUE"""),"Timberland Bancorp Inc  Com")</f>
        <v>Timberland Bancorp Inc  Com</v>
      </c>
      <c r="B125" s="12" t="str">
        <f>IFERROR(__xludf.DUMMYFUNCTION("""COMPUTED_VALUE"""),"TSBK-US")</f>
        <v>TSBK-US</v>
      </c>
      <c r="C125" s="12"/>
      <c r="D125" s="13">
        <f>IFERROR(__xludf.DUMMYFUNCTION("""COMPUTED_VALUE"""),45728.0)</f>
        <v>45728</v>
      </c>
      <c r="E125" s="13">
        <f>IFERROR(__xludf.DUMMYFUNCTION("""COMPUTED_VALUE"""),45685.0)</f>
        <v>45685</v>
      </c>
      <c r="F125" s="13">
        <f>IFERROR(__xludf.DUMMYFUNCTION("""COMPUTED_VALUE"""),45685.0)</f>
        <v>45685</v>
      </c>
      <c r="G125" s="15" t="s">
        <v>5150</v>
      </c>
      <c r="H125" s="15" t="s">
        <v>5150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 t="str">
        <f>IFERROR(__xludf.DUMMYFUNCTION("""COMPUTED_VALUE"""),"Radius Recycling Inc  Cl A")</f>
        <v>Radius Recycling Inc  Cl A</v>
      </c>
      <c r="B126" s="12" t="str">
        <f>IFERROR(__xludf.DUMMYFUNCTION("""COMPUTED_VALUE"""),"RDUS-US")</f>
        <v>RDUS-US</v>
      </c>
      <c r="C126" s="12"/>
      <c r="D126" s="13">
        <f>IFERROR(__xludf.DUMMYFUNCTION("""COMPUTED_VALUE"""),45728.0)</f>
        <v>45728</v>
      </c>
      <c r="E126" s="13">
        <f>IFERROR(__xludf.DUMMYFUNCTION("""COMPUTED_VALUE"""),45685.0)</f>
        <v>45685</v>
      </c>
      <c r="F126" s="13">
        <f>IFERROR(__xludf.DUMMYFUNCTION("""COMPUTED_VALUE"""),45685.0)</f>
        <v>45685</v>
      </c>
      <c r="G126" s="15" t="s">
        <v>5150</v>
      </c>
      <c r="H126" s="15" t="s">
        <v>5150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 t="str">
        <f>IFERROR(__xludf.DUMMYFUNCTION("""COMPUTED_VALUE"""),"Scotts Miracle-Gro Co  Cl A")</f>
        <v>Scotts Miracle-Gro Co  Cl A</v>
      </c>
      <c r="B127" s="12" t="str">
        <f>IFERROR(__xludf.DUMMYFUNCTION("""COMPUTED_VALUE"""),"SMG-US")</f>
        <v>SMG-US</v>
      </c>
      <c r="C127" s="12"/>
      <c r="D127" s="13">
        <f>IFERROR(__xludf.DUMMYFUNCTION("""COMPUTED_VALUE"""),45728.0)</f>
        <v>45728</v>
      </c>
      <c r="E127" s="13">
        <f>IFERROR(__xludf.DUMMYFUNCTION("""COMPUTED_VALUE"""),45684.0)</f>
        <v>45684</v>
      </c>
      <c r="F127" s="13">
        <f>IFERROR(__xludf.DUMMYFUNCTION("""COMPUTED_VALUE"""),45684.0)</f>
        <v>45684</v>
      </c>
      <c r="G127" s="15" t="s">
        <v>5150</v>
      </c>
      <c r="H127" s="15" t="s">
        <v>5150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 t="str">
        <f>IFERROR(__xludf.DUMMYFUNCTION("""COMPUTED_VALUE"""),"Vestis Corp  Com")</f>
        <v>Vestis Corp  Com</v>
      </c>
      <c r="B128" s="12" t="str">
        <f>IFERROR(__xludf.DUMMYFUNCTION("""COMPUTED_VALUE"""),"VSTS-US")</f>
        <v>VSTS-US</v>
      </c>
      <c r="C128" s="12"/>
      <c r="D128" s="13">
        <f>IFERROR(__xludf.DUMMYFUNCTION("""COMPUTED_VALUE"""),45728.0)</f>
        <v>45728</v>
      </c>
      <c r="E128" s="13">
        <f>IFERROR(__xludf.DUMMYFUNCTION("""COMPUTED_VALUE"""),45684.0)</f>
        <v>45684</v>
      </c>
      <c r="F128" s="13">
        <f>IFERROR(__xludf.DUMMYFUNCTION("""COMPUTED_VALUE"""),45684.0)</f>
        <v>45684</v>
      </c>
      <c r="G128" s="16" t="s">
        <v>5151</v>
      </c>
      <c r="H128" s="16" t="s">
        <v>5151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 t="str">
        <f>IFERROR(__xludf.DUMMYFUNCTION("""COMPUTED_VALUE"""),"Aramark  Com")</f>
        <v>Aramark  Com</v>
      </c>
      <c r="B129" s="12" t="str">
        <f>IFERROR(__xludf.DUMMYFUNCTION("""COMPUTED_VALUE"""),"ARMK-US")</f>
        <v>ARMK-US</v>
      </c>
      <c r="C129" s="12"/>
      <c r="D129" s="13">
        <f>IFERROR(__xludf.DUMMYFUNCTION("""COMPUTED_VALUE"""),45729.0)</f>
        <v>45729</v>
      </c>
      <c r="E129" s="13">
        <f>IFERROR(__xludf.DUMMYFUNCTION("""COMPUTED_VALUE"""),45681.0)</f>
        <v>45681</v>
      </c>
      <c r="F129" s="13">
        <f>IFERROR(__xludf.DUMMYFUNCTION("""COMPUTED_VALUE"""),45681.0)</f>
        <v>45681</v>
      </c>
      <c r="G129" s="15" t="s">
        <v>5150</v>
      </c>
      <c r="H129" s="15" t="s">
        <v>5150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 t="str">
        <f>IFERROR(__xludf.DUMMYFUNCTION("""COMPUTED_VALUE"""),"Energizer Holdings Inc  Com New")</f>
        <v>Energizer Holdings Inc  Com New</v>
      </c>
      <c r="B130" s="12" t="str">
        <f>IFERROR(__xludf.DUMMYFUNCTION("""COMPUTED_VALUE"""),"ENR-US")</f>
        <v>ENR-US</v>
      </c>
      <c r="C130" s="12"/>
      <c r="D130" s="13">
        <f>IFERROR(__xludf.DUMMYFUNCTION("""COMPUTED_VALUE"""),45729.0)</f>
        <v>45729</v>
      </c>
      <c r="E130" s="13">
        <f>IFERROR(__xludf.DUMMYFUNCTION("""COMPUTED_VALUE"""),45681.0)</f>
        <v>45681</v>
      </c>
      <c r="F130" s="13">
        <f>IFERROR(__xludf.DUMMYFUNCTION("""COMPUTED_VALUE"""),45681.0)</f>
        <v>45681</v>
      </c>
      <c r="G130" s="15" t="s">
        <v>5150</v>
      </c>
      <c r="H130" s="15" t="s">
        <v>5150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 t="str">
        <f>IFERROR(__xludf.DUMMYFUNCTION("""COMPUTED_VALUE"""),"Sally Beauty Holdings Inc  Com")</f>
        <v>Sally Beauty Holdings Inc  Com</v>
      </c>
      <c r="B131" s="12" t="str">
        <f>IFERROR(__xludf.DUMMYFUNCTION("""COMPUTED_VALUE"""),"SBH-US")</f>
        <v>SBH-US</v>
      </c>
      <c r="C131" s="12"/>
      <c r="D131" s="13">
        <f>IFERROR(__xludf.DUMMYFUNCTION("""COMPUTED_VALUE"""),45729.0)</f>
        <v>45729</v>
      </c>
      <c r="E131" s="13">
        <f>IFERROR(__xludf.DUMMYFUNCTION("""COMPUTED_VALUE"""),45681.0)</f>
        <v>45681</v>
      </c>
      <c r="F131" s="13">
        <f>IFERROR(__xludf.DUMMYFUNCTION("""COMPUTED_VALUE"""),45681.0)</f>
        <v>45681</v>
      </c>
      <c r="G131" s="15" t="s">
        <v>5150</v>
      </c>
      <c r="H131" s="15" t="s">
        <v>5150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 t="str">
        <f>IFERROR(__xludf.DUMMYFUNCTION("""COMPUTED_VALUE"""),"Franklin Covey Co  Com")</f>
        <v>Franklin Covey Co  Com</v>
      </c>
      <c r="B132" s="12" t="str">
        <f>IFERROR(__xludf.DUMMYFUNCTION("""COMPUTED_VALUE"""),"FC-US")</f>
        <v>FC-US</v>
      </c>
      <c r="C132" s="12"/>
      <c r="D132" s="13">
        <f>IFERROR(__xludf.DUMMYFUNCTION("""COMPUTED_VALUE"""),45729.0)</f>
        <v>45729</v>
      </c>
      <c r="E132" s="13">
        <f>IFERROR(__xludf.DUMMYFUNCTION("""COMPUTED_VALUE"""),45681.0)</f>
        <v>45681</v>
      </c>
      <c r="F132" s="13">
        <f>IFERROR(__xludf.DUMMYFUNCTION("""COMPUTED_VALUE"""),45681.0)</f>
        <v>45681</v>
      </c>
      <c r="G132" s="15" t="s">
        <v>5150</v>
      </c>
      <c r="H132" s="15" t="s">
        <v>5150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 t="str">
        <f>IFERROR(__xludf.DUMMYFUNCTION("""COMPUTED_VALUE"""),"Costco Wholesale Corp  Com")</f>
        <v>Costco Wholesale Corp  Com</v>
      </c>
      <c r="B133" s="12" t="str">
        <f>IFERROR(__xludf.DUMMYFUNCTION("""COMPUTED_VALUE"""),"COST-US")</f>
        <v>COST-US</v>
      </c>
      <c r="C133" s="12"/>
      <c r="D133" s="13">
        <f>IFERROR(__xludf.DUMMYFUNCTION("""COMPUTED_VALUE"""),45729.0)</f>
        <v>45729</v>
      </c>
      <c r="E133" s="13">
        <f>IFERROR(__xludf.DUMMYFUNCTION("""COMPUTED_VALUE"""),45680.0)</f>
        <v>45680</v>
      </c>
      <c r="F133" s="13">
        <f>IFERROR(__xludf.DUMMYFUNCTION("""COMPUTED_VALUE"""),45680.0)</f>
        <v>45680</v>
      </c>
      <c r="G133" s="15" t="s">
        <v>5150</v>
      </c>
      <c r="H133" s="15" t="s">
        <v>5150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 t="str">
        <f>IFERROR(__xludf.DUMMYFUNCTION("""COMPUTED_VALUE"""),"Intuit Inc  Com")</f>
        <v>Intuit Inc  Com</v>
      </c>
      <c r="B134" s="12" t="str">
        <f>IFERROR(__xludf.DUMMYFUNCTION("""COMPUTED_VALUE"""),"INTU-US")</f>
        <v>INTU-US</v>
      </c>
      <c r="C134" s="12"/>
      <c r="D134" s="13">
        <f>IFERROR(__xludf.DUMMYFUNCTION("""COMPUTED_VALUE"""),45730.0)</f>
        <v>45730</v>
      </c>
      <c r="E134" s="13">
        <f>IFERROR(__xludf.DUMMYFUNCTION("""COMPUTED_VALUE"""),45680.0)</f>
        <v>45680</v>
      </c>
      <c r="F134" s="13">
        <f>IFERROR(__xludf.DUMMYFUNCTION("""COMPUTED_VALUE"""),45680.0)</f>
        <v>45680</v>
      </c>
      <c r="G134" s="15" t="s">
        <v>5150</v>
      </c>
      <c r="H134" s="15" t="s">
        <v>5150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 t="str">
        <f>IFERROR(__xludf.DUMMYFUNCTION("""COMPUTED_VALUE"""),"Air Products &amp; Chemicals Inc  Com")</f>
        <v>Air Products &amp; Chemicals Inc  Com</v>
      </c>
      <c r="B135" s="12" t="str">
        <f>IFERROR(__xludf.DUMMYFUNCTION("""COMPUTED_VALUE"""),"APD-US")</f>
        <v>APD-US</v>
      </c>
      <c r="C135" s="12"/>
      <c r="D135" s="13">
        <f>IFERROR(__xludf.DUMMYFUNCTION("""COMPUTED_VALUE"""),45730.0)</f>
        <v>45730</v>
      </c>
      <c r="E135" s="13">
        <f>IFERROR(__xludf.DUMMYFUNCTION("""COMPUTED_VALUE"""),45680.0)</f>
        <v>45680</v>
      </c>
      <c r="F135" s="13">
        <f>IFERROR(__xludf.DUMMYFUNCTION("""COMPUTED_VALUE"""),45680.0)</f>
        <v>45680</v>
      </c>
      <c r="G135" s="15" t="s">
        <v>5150</v>
      </c>
      <c r="H135" s="15" t="s">
        <v>5150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 t="str">
        <f>IFERROR(__xludf.DUMMYFUNCTION("""COMPUTED_VALUE"""),"Jabil Inc  Com")</f>
        <v>Jabil Inc  Com</v>
      </c>
      <c r="B136" s="12" t="str">
        <f>IFERROR(__xludf.DUMMYFUNCTION("""COMPUTED_VALUE"""),"JBL-US")</f>
        <v>JBL-US</v>
      </c>
      <c r="C136" s="12"/>
      <c r="D136" s="13">
        <f>IFERROR(__xludf.DUMMYFUNCTION("""COMPUTED_VALUE"""),45730.0)</f>
        <v>45730</v>
      </c>
      <c r="E136" s="13">
        <f>IFERROR(__xludf.DUMMYFUNCTION("""COMPUTED_VALUE"""),45680.0)</f>
        <v>45680</v>
      </c>
      <c r="F136" s="13">
        <f>IFERROR(__xludf.DUMMYFUNCTION("""COMPUTED_VALUE"""),45680.0)</f>
        <v>45680</v>
      </c>
      <c r="G136" s="15" t="s">
        <v>5150</v>
      </c>
      <c r="H136" s="15" t="s">
        <v>5150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 t="str">
        <f>IFERROR(__xludf.DUMMYFUNCTION("""COMPUTED_VALUE"""),"Simply Good Foods Co  Com")</f>
        <v>Simply Good Foods Co  Com</v>
      </c>
      <c r="B137" s="12" t="str">
        <f>IFERROR(__xludf.DUMMYFUNCTION("""COMPUTED_VALUE"""),"SMPL-US")</f>
        <v>SMPL-US</v>
      </c>
      <c r="C137" s="12"/>
      <c r="D137" s="13">
        <f>IFERROR(__xludf.DUMMYFUNCTION("""COMPUTED_VALUE"""),45733.0)</f>
        <v>45733</v>
      </c>
      <c r="E137" s="13">
        <f>IFERROR(__xludf.DUMMYFUNCTION("""COMPUTED_VALUE"""),45680.0)</f>
        <v>45680</v>
      </c>
      <c r="F137" s="13">
        <f>IFERROR(__xludf.DUMMYFUNCTION("""COMPUTED_VALUE"""),45680.0)</f>
        <v>45680</v>
      </c>
      <c r="G137" s="15" t="s">
        <v>5150</v>
      </c>
      <c r="H137" s="15" t="s">
        <v>5150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 t="str">
        <f>IFERROR(__xludf.DUMMYFUNCTION("""COMPUTED_VALUE"""),"Kura Sushi Usa Inc  Cl A")</f>
        <v>Kura Sushi Usa Inc  Cl A</v>
      </c>
      <c r="B138" s="12" t="str">
        <f>IFERROR(__xludf.DUMMYFUNCTION("""COMPUTED_VALUE"""),"KRUS-US")</f>
        <v>KRUS-US</v>
      </c>
      <c r="C138" s="12"/>
      <c r="D138" s="13">
        <f>IFERROR(__xludf.DUMMYFUNCTION("""COMPUTED_VALUE"""),45734.0)</f>
        <v>45734</v>
      </c>
      <c r="E138" s="13">
        <f>IFERROR(__xludf.DUMMYFUNCTION("""COMPUTED_VALUE"""),45680.0)</f>
        <v>45680</v>
      </c>
      <c r="F138" s="13">
        <f>IFERROR(__xludf.DUMMYFUNCTION("""COMPUTED_VALUE"""),45680.0)</f>
        <v>45680</v>
      </c>
      <c r="G138" s="15" t="s">
        <v>5150</v>
      </c>
      <c r="H138" s="15" t="s">
        <v>5150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 t="str">
        <f>IFERROR(__xludf.DUMMYFUNCTION("""COMPUTED_VALUE"""),"Acuity Brands Inc  Com")</f>
        <v>Acuity Brands Inc  Com</v>
      </c>
      <c r="B139" s="12" t="str">
        <f>IFERROR(__xludf.DUMMYFUNCTION("""COMPUTED_VALUE"""),"AYI-US")</f>
        <v>AYI-US</v>
      </c>
      <c r="C139" s="12"/>
      <c r="D139" s="13">
        <f>IFERROR(__xludf.DUMMYFUNCTION("""COMPUTED_VALUE"""),45734.0)</f>
        <v>45734</v>
      </c>
      <c r="E139" s="13">
        <f>IFERROR(__xludf.DUMMYFUNCTION("""COMPUTED_VALUE"""),45679.0)</f>
        <v>45679</v>
      </c>
      <c r="F139" s="13">
        <f>IFERROR(__xludf.DUMMYFUNCTION("""COMPUTED_VALUE"""),45679.0)</f>
        <v>45679</v>
      </c>
      <c r="G139" s="15" t="s">
        <v>5150</v>
      </c>
      <c r="H139" s="15" t="s">
        <v>5150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 t="str">
        <f>IFERROR(__xludf.DUMMYFUNCTION("""COMPUTED_VALUE"""),"Msc Industrial Direct Inc  Cl A")</f>
        <v>Msc Industrial Direct Inc  Cl A</v>
      </c>
      <c r="B140" s="12" t="str">
        <f>IFERROR(__xludf.DUMMYFUNCTION("""COMPUTED_VALUE"""),"MSM-US")</f>
        <v>MSM-US</v>
      </c>
      <c r="C140" s="12"/>
      <c r="D140" s="13">
        <f>IFERROR(__xludf.DUMMYFUNCTION("""COMPUTED_VALUE"""),45736.0)</f>
        <v>45736</v>
      </c>
      <c r="E140" s="13">
        <f>IFERROR(__xludf.DUMMYFUNCTION("""COMPUTED_VALUE"""),45679.0)</f>
        <v>45679</v>
      </c>
      <c r="F140" s="13">
        <f>IFERROR(__xludf.DUMMYFUNCTION("""COMPUTED_VALUE"""),45679.0)</f>
        <v>45679</v>
      </c>
      <c r="G140" s="15" t="s">
        <v>5150</v>
      </c>
      <c r="H140" s="15" t="s">
        <v>5150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 t="str">
        <f>IFERROR(__xludf.DUMMYFUNCTION("""COMPUTED_VALUE"""),"New Jersey Resources  Com")</f>
        <v>New Jersey Resources  Com</v>
      </c>
      <c r="B141" s="12" t="str">
        <f>IFERROR(__xludf.DUMMYFUNCTION("""COMPUTED_VALUE"""),"NJR-US")</f>
        <v>NJR-US</v>
      </c>
      <c r="C141" s="12"/>
      <c r="D141" s="13">
        <f>IFERROR(__xludf.DUMMYFUNCTION("""COMPUTED_VALUE"""),45736.0)</f>
        <v>45736</v>
      </c>
      <c r="E141" s="13">
        <f>IFERROR(__xludf.DUMMYFUNCTION("""COMPUTED_VALUE"""),45678.0)</f>
        <v>45678</v>
      </c>
      <c r="F141" s="13">
        <f>IFERROR(__xludf.DUMMYFUNCTION("""COMPUTED_VALUE"""),45678.0)</f>
        <v>45678</v>
      </c>
      <c r="G141" s="15" t="s">
        <v>5150</v>
      </c>
      <c r="H141" s="15" t="s">
        <v>5150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 t="str">
        <f>IFERROR(__xludf.DUMMYFUNCTION("""COMPUTED_VALUE"""),"Ashland Inc  Com")</f>
        <v>Ashland Inc  Com</v>
      </c>
      <c r="B142" s="12" t="str">
        <f>IFERROR(__xludf.DUMMYFUNCTION("""COMPUTED_VALUE"""),"ASH-US")</f>
        <v>ASH-US</v>
      </c>
      <c r="C142" s="12"/>
      <c r="D142" s="13">
        <f>IFERROR(__xludf.DUMMYFUNCTION("""COMPUTED_VALUE"""),45736.0)</f>
        <v>45736</v>
      </c>
      <c r="E142" s="13">
        <f>IFERROR(__xludf.DUMMYFUNCTION("""COMPUTED_VALUE"""),45678.0)</f>
        <v>45678</v>
      </c>
      <c r="F142" s="13">
        <f>IFERROR(__xludf.DUMMYFUNCTION("""COMPUTED_VALUE"""),45678.0)</f>
        <v>45678</v>
      </c>
      <c r="G142" s="15" t="s">
        <v>5150</v>
      </c>
      <c r="H142" s="15" t="s">
        <v>5150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 t="str">
        <f>IFERROR(__xludf.DUMMYFUNCTION("""COMPUTED_VALUE"""),"Forestar Group Inc  Com")</f>
        <v>Forestar Group Inc  Com</v>
      </c>
      <c r="B143" s="12" t="str">
        <f>IFERROR(__xludf.DUMMYFUNCTION("""COMPUTED_VALUE"""),"FOR-US")</f>
        <v>FOR-US</v>
      </c>
      <c r="C143" s="12"/>
      <c r="D143" s="13">
        <f>IFERROR(__xludf.DUMMYFUNCTION("""COMPUTED_VALUE"""),45741.0)</f>
        <v>45741</v>
      </c>
      <c r="E143" s="13">
        <f>IFERROR(__xludf.DUMMYFUNCTION("""COMPUTED_VALUE"""),45677.0)</f>
        <v>45677</v>
      </c>
      <c r="F143" s="13">
        <f>IFERROR(__xludf.DUMMYFUNCTION("""COMPUTED_VALUE"""),45677.0)</f>
        <v>45677</v>
      </c>
      <c r="G143" s="15" t="s">
        <v>5150</v>
      </c>
      <c r="H143" s="15" t="s">
        <v>5150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 t="str">
        <f>IFERROR(__xludf.DUMMYFUNCTION("""COMPUTED_VALUE"""),"Micron Technology Inc  Com")</f>
        <v>Micron Technology Inc  Com</v>
      </c>
      <c r="B144" s="12" t="str">
        <f>IFERROR(__xludf.DUMMYFUNCTION("""COMPUTED_VALUE"""),"MU-US")</f>
        <v>MU-US</v>
      </c>
      <c r="C144" s="12"/>
      <c r="D144" s="13">
        <f>IFERROR(__xludf.DUMMYFUNCTION("""COMPUTED_VALUE"""),45377.0)</f>
        <v>45377</v>
      </c>
      <c r="E144" s="13">
        <f>IFERROR(__xludf.DUMMYFUNCTION("""COMPUTED_VALUE"""),45673.0)</f>
        <v>45673</v>
      </c>
      <c r="F144" s="13">
        <f>IFERROR(__xludf.DUMMYFUNCTION("""COMPUTED_VALUE"""),45673.0)</f>
        <v>45673</v>
      </c>
      <c r="G144" s="15" t="s">
        <v>5150</v>
      </c>
      <c r="H144" s="15" t="s">
        <v>5150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 t="str">
        <f>IFERROR(__xludf.DUMMYFUNCTION("""COMPUTED_VALUE"""),"D R Horton Inc  Com")</f>
        <v>D R Horton Inc  Com</v>
      </c>
      <c r="B145" s="12" t="str">
        <f>IFERROR(__xludf.DUMMYFUNCTION("""COMPUTED_VALUE"""),"DHI-US")</f>
        <v>DHI-US</v>
      </c>
      <c r="C145" s="12"/>
      <c r="D145" s="13">
        <f>IFERROR(__xludf.DUMMYFUNCTION("""COMPUTED_VALUE"""),45742.0)</f>
        <v>45742</v>
      </c>
      <c r="E145" s="13">
        <f>IFERROR(__xludf.DUMMYFUNCTION("""COMPUTED_VALUE"""),45673.0)</f>
        <v>45673</v>
      </c>
      <c r="F145" s="13">
        <f>IFERROR(__xludf.DUMMYFUNCTION("""COMPUTED_VALUE"""),45673.0)</f>
        <v>45673</v>
      </c>
      <c r="G145" s="16" t="s">
        <v>5151</v>
      </c>
      <c r="H145" s="16" t="s">
        <v>5151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 t="str">
        <f>IFERROR(__xludf.DUMMYFUNCTION("""COMPUTED_VALUE"""),"Commercial Metals Co  Com")</f>
        <v>Commercial Metals Co  Com</v>
      </c>
      <c r="B146" s="12" t="str">
        <f>IFERROR(__xludf.DUMMYFUNCTION("""COMPUTED_VALUE"""),"CMC-US")</f>
        <v>CMC-US</v>
      </c>
      <c r="C146" s="12"/>
      <c r="D146" s="13">
        <f>IFERROR(__xludf.DUMMYFUNCTION("""COMPUTED_VALUE"""),45742.0)</f>
        <v>45742</v>
      </c>
      <c r="E146" s="13">
        <f>IFERROR(__xludf.DUMMYFUNCTION("""COMPUTED_VALUE"""),45672.0)</f>
        <v>45672</v>
      </c>
      <c r="F146" s="13">
        <f>IFERROR(__xludf.DUMMYFUNCTION("""COMPUTED_VALUE"""),45672.0)</f>
        <v>45672</v>
      </c>
      <c r="G146" s="15" t="s">
        <v>5150</v>
      </c>
      <c r="H146" s="15" t="s">
        <v>5150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 t="str">
        <f>IFERROR(__xludf.DUMMYFUNCTION("""COMPUTED_VALUE"""),"Unifirst Corp/Ma  Com")</f>
        <v>Unifirst Corp/Ma  Com</v>
      </c>
      <c r="B147" s="12" t="str">
        <f>IFERROR(__xludf.DUMMYFUNCTION("""COMPUTED_VALUE"""),"UNF-US")</f>
        <v>UNF-US</v>
      </c>
      <c r="C147" s="12"/>
      <c r="D147" s="13">
        <f>IFERROR(__xludf.DUMMYFUNCTION("""COMPUTED_VALUE"""),45743.0)</f>
        <v>45743</v>
      </c>
      <c r="E147" s="13">
        <f>IFERROR(__xludf.DUMMYFUNCTION("""COMPUTED_VALUE"""),45671.0)</f>
        <v>45671</v>
      </c>
      <c r="F147" s="13">
        <f>IFERROR(__xludf.DUMMYFUNCTION("""COMPUTED_VALUE"""),45671.0)</f>
        <v>45671</v>
      </c>
      <c r="G147" s="15" t="s">
        <v>5150</v>
      </c>
      <c r="H147" s="15" t="s">
        <v>5150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 t="str">
        <f>IFERROR(__xludf.DUMMYFUNCTION("""COMPUTED_VALUE"""),"Zscaler Inc  Com")</f>
        <v>Zscaler Inc  Com</v>
      </c>
      <c r="B148" s="12" t="str">
        <f>IFERROR(__xludf.DUMMYFUNCTION("""COMPUTED_VALUE"""),"ZS-US")</f>
        <v>ZS-US</v>
      </c>
      <c r="C148" s="12"/>
      <c r="D148" s="13">
        <f>IFERROR(__xludf.DUMMYFUNCTION("""COMPUTED_VALUE"""),45743.0)</f>
        <v>45743</v>
      </c>
      <c r="E148" s="13">
        <f>IFERROR(__xludf.DUMMYFUNCTION("""COMPUTED_VALUE"""),45667.0)</f>
        <v>45667</v>
      </c>
      <c r="F148" s="13">
        <f>IFERROR(__xludf.DUMMYFUNCTION("""COMPUTED_VALUE"""),45667.0)</f>
        <v>45667</v>
      </c>
      <c r="G148" s="15" t="s">
        <v>5150</v>
      </c>
      <c r="H148" s="15" t="s">
        <v>5150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 t="str">
        <f>IFERROR(__xludf.DUMMYFUNCTION("""COMPUTED_VALUE"""),"Greenbrier Companies Inc  Com")</f>
        <v>Greenbrier Companies Inc  Com</v>
      </c>
      <c r="B149" s="12" t="str">
        <f>IFERROR(__xludf.DUMMYFUNCTION("""COMPUTED_VALUE"""),"GBX-US")</f>
        <v>GBX-US</v>
      </c>
      <c r="C149" s="12"/>
      <c r="D149" s="13">
        <f>IFERROR(__xludf.DUMMYFUNCTION("""COMPUTED_VALUE"""),45743.0)</f>
        <v>45743</v>
      </c>
      <c r="E149" s="13">
        <f>IFERROR(__xludf.DUMMYFUNCTION("""COMPUTED_VALUE"""),45666.0)</f>
        <v>45666</v>
      </c>
      <c r="F149" s="13">
        <f>IFERROR(__xludf.DUMMYFUNCTION("""COMPUTED_VALUE"""),45666.0)</f>
        <v>45666</v>
      </c>
      <c r="G149" s="15" t="s">
        <v>5150</v>
      </c>
      <c r="H149" s="15" t="s">
        <v>5150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 t="str">
        <f>IFERROR(__xludf.DUMMYFUNCTION("""COMPUTED_VALUE"""),"Lindsay Corp  Com")</f>
        <v>Lindsay Corp  Com</v>
      </c>
      <c r="B150" s="12" t="str">
        <f>IFERROR(__xludf.DUMMYFUNCTION("""COMPUTED_VALUE"""),"LNN-US")</f>
        <v>LNN-US</v>
      </c>
      <c r="C150" s="12"/>
      <c r="D150" s="13">
        <f>IFERROR(__xludf.DUMMYFUNCTION("""COMPUTED_VALUE"""),45743.0)</f>
        <v>45743</v>
      </c>
      <c r="E150" s="13">
        <f>IFERROR(__xludf.DUMMYFUNCTION("""COMPUTED_VALUE"""),45665.0)</f>
        <v>45665</v>
      </c>
      <c r="F150" s="13">
        <f>IFERROR(__xludf.DUMMYFUNCTION("""COMPUTED_VALUE"""),45665.0)</f>
        <v>45665</v>
      </c>
      <c r="G150" s="15" t="s">
        <v>5150</v>
      </c>
      <c r="H150" s="15" t="s">
        <v>5150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 t="str">
        <f>IFERROR(__xludf.DUMMYFUNCTION("""COMPUTED_VALUE"""),"Amedisys Inc  Com")</f>
        <v>Amedisys Inc  Com</v>
      </c>
      <c r="B151" s="12" t="str">
        <f>IFERROR(__xludf.DUMMYFUNCTION("""COMPUTED_VALUE"""),"AMED-US")</f>
        <v>AMED-US</v>
      </c>
      <c r="C151" s="12"/>
      <c r="D151" s="13">
        <f>IFERROR(__xludf.DUMMYFUNCTION("""COMPUTED_VALUE"""),45749.0)</f>
        <v>45749</v>
      </c>
      <c r="E151" s="17">
        <f>IFERROR(__xludf.DUMMYFUNCTION("""COMPUTED_VALUE"""),45656.0)</f>
        <v>45656</v>
      </c>
      <c r="F151" s="17">
        <f>IFERROR(__xludf.DUMMYFUNCTION("""COMPUTED_VALUE"""),45656.0)</f>
        <v>45656</v>
      </c>
      <c r="G151" s="16" t="s">
        <v>5152</v>
      </c>
      <c r="H151" s="16" t="s">
        <v>5152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 t="str">
        <f>IFERROR(__xludf.DUMMYFUNCTION("""COMPUTED_VALUE"""),"Globalstar Inc  Com")</f>
        <v>Globalstar Inc  Com</v>
      </c>
      <c r="B152" s="12" t="str">
        <f>IFERROR(__xludf.DUMMYFUNCTION("""COMPUTED_VALUE"""),"GSAT-US")</f>
        <v>GSAT-US</v>
      </c>
      <c r="C152" s="12"/>
      <c r="D152" s="13">
        <f>IFERROR(__xludf.DUMMYFUNCTION("""COMPUTED_VALUE"""),45749.0)</f>
        <v>45749</v>
      </c>
      <c r="E152" s="13">
        <f>IFERROR(__xludf.DUMMYFUNCTION("""COMPUTED_VALUE"""),45797.0)</f>
        <v>45797</v>
      </c>
      <c r="F152" s="13">
        <f>IFERROR(__xludf.DUMMYFUNCTION("""COMPUTED_VALUE"""),45797.0)</f>
        <v>45797</v>
      </c>
      <c r="G152" s="15" t="s">
        <v>5150</v>
      </c>
      <c r="H152" s="15" t="s">
        <v>5150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 t="str">
        <f>IFERROR(__xludf.DUMMYFUNCTION("""COMPUTED_VALUE"""),"Grid Dynamics Holdings Inc  Cl A")</f>
        <v>Grid Dynamics Holdings Inc  Cl A</v>
      </c>
      <c r="B153" s="12" t="str">
        <f>IFERROR(__xludf.DUMMYFUNCTION("""COMPUTED_VALUE"""),"GDYN-US")</f>
        <v>GDYN-US</v>
      </c>
      <c r="C153" s="12"/>
      <c r="D153" s="13">
        <f>IFERROR(__xludf.DUMMYFUNCTION("""COMPUTED_VALUE"""),45749.0)</f>
        <v>45749</v>
      </c>
      <c r="E153" s="17">
        <f>IFERROR(__xludf.DUMMYFUNCTION("""COMPUTED_VALUE"""),45649.0)</f>
        <v>45649</v>
      </c>
      <c r="F153" s="17">
        <f>IFERROR(__xludf.DUMMYFUNCTION("""COMPUTED_VALUE"""),45649.0)</f>
        <v>45649</v>
      </c>
      <c r="G153" s="15" t="s">
        <v>5150</v>
      </c>
      <c r="H153" s="15" t="s">
        <v>5150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 t="str">
        <f>IFERROR(__xludf.DUMMYFUNCTION("""COMPUTED_VALUE"""),"Thor Industries Inc  Com")</f>
        <v>Thor Industries Inc  Com</v>
      </c>
      <c r="B154" s="12" t="str">
        <f>IFERROR(__xludf.DUMMYFUNCTION("""COMPUTED_VALUE"""),"THO-US")</f>
        <v>THO-US</v>
      </c>
      <c r="C154" s="12"/>
      <c r="D154" s="13">
        <f>IFERROR(__xludf.DUMMYFUNCTION("""COMPUTED_VALUE"""),45749.0)</f>
        <v>45749</v>
      </c>
      <c r="E154" s="17">
        <f>IFERROR(__xludf.DUMMYFUNCTION("""COMPUTED_VALUE"""),45646.0)</f>
        <v>45646</v>
      </c>
      <c r="F154" s="17">
        <f>IFERROR(__xludf.DUMMYFUNCTION("""COMPUTED_VALUE"""),45646.0)</f>
        <v>45646</v>
      </c>
      <c r="G154" s="15" t="s">
        <v>5150</v>
      </c>
      <c r="H154" s="15" t="s">
        <v>5150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 t="str">
        <f>IFERROR(__xludf.DUMMYFUNCTION("""COMPUTED_VALUE"""),"Factset Research Systems Inc  Com")</f>
        <v>Factset Research Systems Inc  Com</v>
      </c>
      <c r="B155" s="12" t="str">
        <f>IFERROR(__xludf.DUMMYFUNCTION("""COMPUTED_VALUE"""),"FDS-US")</f>
        <v>FDS-US</v>
      </c>
      <c r="C155" s="12"/>
      <c r="D155" s="13">
        <f>IFERROR(__xludf.DUMMYFUNCTION("""COMPUTED_VALUE"""),45750.0)</f>
        <v>45750</v>
      </c>
      <c r="E155" s="17">
        <f>IFERROR(__xludf.DUMMYFUNCTION("""COMPUTED_VALUE"""),45645.0)</f>
        <v>45645</v>
      </c>
      <c r="F155" s="17">
        <f>IFERROR(__xludf.DUMMYFUNCTION("""COMPUTED_VALUE"""),45645.0)</f>
        <v>45645</v>
      </c>
      <c r="G155" s="15" t="s">
        <v>5150</v>
      </c>
      <c r="H155" s="15" t="s">
        <v>5150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 t="str">
        <f>IFERROR(__xludf.DUMMYFUNCTION("""COMPUTED_VALUE"""),"Primis Financial Corp  Com")</f>
        <v>Primis Financial Corp  Com</v>
      </c>
      <c r="B156" s="12" t="str">
        <f>IFERROR(__xludf.DUMMYFUNCTION("""COMPUTED_VALUE"""),"FRST-US")</f>
        <v>FRST-US</v>
      </c>
      <c r="C156" s="12"/>
      <c r="D156" s="13">
        <f>IFERROR(__xludf.DUMMYFUNCTION("""COMPUTED_VALUE"""),45387.0)</f>
        <v>45387</v>
      </c>
      <c r="E156" s="13">
        <f>IFERROR(__xludf.DUMMYFUNCTION("""COMPUTED_VALUE"""),45834.0)</f>
        <v>45834</v>
      </c>
      <c r="F156" s="13">
        <f>IFERROR(__xludf.DUMMYFUNCTION("""COMPUTED_VALUE"""),45834.0)</f>
        <v>45834</v>
      </c>
      <c r="G156" s="16" t="s">
        <v>5150</v>
      </c>
      <c r="H156" s="16" t="s">
        <v>5150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 t="str">
        <f>IFERROR(__xludf.DUMMYFUNCTION("""COMPUTED_VALUE"""),"Osi Systems Inc  Com")</f>
        <v>Osi Systems Inc  Com</v>
      </c>
      <c r="B157" s="12" t="str">
        <f>IFERROR(__xludf.DUMMYFUNCTION("""COMPUTED_VALUE"""),"OSIS-US")</f>
        <v>OSIS-US</v>
      </c>
      <c r="C157" s="12"/>
      <c r="D157" s="13">
        <f>IFERROR(__xludf.DUMMYFUNCTION("""COMPUTED_VALUE"""),45757.0)</f>
        <v>45757</v>
      </c>
      <c r="E157" s="17">
        <f>IFERROR(__xludf.DUMMYFUNCTION("""COMPUTED_VALUE"""),45638.0)</f>
        <v>45638</v>
      </c>
      <c r="F157" s="17">
        <f>IFERROR(__xludf.DUMMYFUNCTION("""COMPUTED_VALUE"""),45638.0)</f>
        <v>45638</v>
      </c>
      <c r="G157" s="16" t="s">
        <v>5152</v>
      </c>
      <c r="H157" s="16" t="s">
        <v>5152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 t="str">
        <f>IFERROR(__xludf.DUMMYFUNCTION("""COMPUTED_VALUE"""),"Mcgrath Rentcorp  Com")</f>
        <v>Mcgrath Rentcorp  Com</v>
      </c>
      <c r="B158" s="12" t="str">
        <f>IFERROR(__xludf.DUMMYFUNCTION("""COMPUTED_VALUE"""),"MGRC-US")</f>
        <v>MGRC-US</v>
      </c>
      <c r="C158" s="12"/>
      <c r="D158" s="13">
        <f>IFERROR(__xludf.DUMMYFUNCTION("""COMPUTED_VALUE"""),45393.0)</f>
        <v>45393</v>
      </c>
      <c r="E158" s="13">
        <f>IFERROR(__xludf.DUMMYFUNCTION("""COMPUTED_VALUE"""),45812.0)</f>
        <v>45812</v>
      </c>
      <c r="F158" s="13">
        <f>IFERROR(__xludf.DUMMYFUNCTION("""COMPUTED_VALUE"""),45812.0)</f>
        <v>45812</v>
      </c>
      <c r="G158" s="16" t="s">
        <v>5150</v>
      </c>
      <c r="H158" s="16" t="s">
        <v>5150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 t="str">
        <f>IFERROR(__xludf.DUMMYFUNCTION("""COMPUTED_VALUE"""),"Idt Corp  Cl B")</f>
        <v>Idt Corp  Cl B</v>
      </c>
      <c r="B159" s="12" t="str">
        <f>IFERROR(__xludf.DUMMYFUNCTION("""COMPUTED_VALUE"""),"IDT-US")</f>
        <v>IDT-US</v>
      </c>
      <c r="C159" s="12"/>
      <c r="D159" s="13">
        <f>IFERROR(__xludf.DUMMYFUNCTION("""COMPUTED_VALUE"""),45761.0)</f>
        <v>45761</v>
      </c>
      <c r="E159" s="17">
        <f>IFERROR(__xludf.DUMMYFUNCTION("""COMPUTED_VALUE"""),45638.0)</f>
        <v>45638</v>
      </c>
      <c r="F159" s="17">
        <f>IFERROR(__xludf.DUMMYFUNCTION("""COMPUTED_VALUE"""),45638.0)</f>
        <v>45638</v>
      </c>
      <c r="G159" s="16" t="s">
        <v>5152</v>
      </c>
      <c r="H159" s="16" t="s">
        <v>5152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 t="str">
        <f>IFERROR(__xludf.DUMMYFUNCTION("""COMPUTED_VALUE"""),"Sphere Entertainment Co  Cl A")</f>
        <v>Sphere Entertainment Co  Cl A</v>
      </c>
      <c r="B160" s="12" t="str">
        <f>IFERROR(__xludf.DUMMYFUNCTION("""COMPUTED_VALUE"""),"SPHR-US")</f>
        <v>SPHR-US</v>
      </c>
      <c r="C160" s="12"/>
      <c r="D160" s="13">
        <f>IFERROR(__xludf.DUMMYFUNCTION("""COMPUTED_VALUE"""),45398.0)</f>
        <v>45398</v>
      </c>
      <c r="E160" s="13">
        <f>IFERROR(__xludf.DUMMYFUNCTION("""COMPUTED_VALUE"""),45812.0)</f>
        <v>45812</v>
      </c>
      <c r="F160" s="13">
        <f>IFERROR(__xludf.DUMMYFUNCTION("""COMPUTED_VALUE"""),45812.0)</f>
        <v>45812</v>
      </c>
      <c r="G160" s="16" t="s">
        <v>5150</v>
      </c>
      <c r="H160" s="16" t="s">
        <v>5150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 t="str">
        <f>IFERROR(__xludf.DUMMYFUNCTION("""COMPUTED_VALUE"""),"Jakks Pacific Inc  Com")</f>
        <v>Jakks Pacific Inc  Com</v>
      </c>
      <c r="B161" s="12" t="str">
        <f>IFERROR(__xludf.DUMMYFUNCTION("""COMPUTED_VALUE"""),"JAKK-US")</f>
        <v>JAKK-US</v>
      </c>
      <c r="C161" s="12"/>
      <c r="D161" s="13">
        <f>IFERROR(__xludf.DUMMYFUNCTION("""COMPUTED_VALUE"""),45398.0)</f>
        <v>45398</v>
      </c>
      <c r="E161" s="13">
        <f>IFERROR(__xludf.DUMMYFUNCTION("""COMPUTED_VALUE"""),45828.0)</f>
        <v>45828</v>
      </c>
      <c r="F161" s="13">
        <f>IFERROR(__xludf.DUMMYFUNCTION("""COMPUTED_VALUE"""),45828.0)</f>
        <v>45828</v>
      </c>
      <c r="G161" s="16" t="s">
        <v>5150</v>
      </c>
      <c r="H161" s="16" t="s">
        <v>5150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 t="str">
        <f>IFERROR(__xludf.DUMMYFUNCTION("""COMPUTED_VALUE"""),"Cormedix Inc  Com")</f>
        <v>Cormedix Inc  Com</v>
      </c>
      <c r="B162" s="12" t="str">
        <f>IFERROR(__xludf.DUMMYFUNCTION("""COMPUTED_VALUE"""),"CRMD-US")</f>
        <v>CRMD-US</v>
      </c>
      <c r="C162" s="12"/>
      <c r="D162" s="13">
        <f>IFERROR(__xludf.DUMMYFUNCTION("""COMPUTED_VALUE"""),45399.0)</f>
        <v>45399</v>
      </c>
      <c r="E162" s="13">
        <f>IFERROR(__xludf.DUMMYFUNCTION("""COMPUTED_VALUE"""),45832.0)</f>
        <v>45832</v>
      </c>
      <c r="F162" s="13">
        <f>IFERROR(__xludf.DUMMYFUNCTION("""COMPUTED_VALUE"""),45832.0)</f>
        <v>45832</v>
      </c>
      <c r="G162" s="16" t="s">
        <v>5150</v>
      </c>
      <c r="H162" s="16" t="s">
        <v>5150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 t="str">
        <f>IFERROR(__xludf.DUMMYFUNCTION("""COMPUTED_VALUE"""),"Byrna Technologies Inc  Com")</f>
        <v>Byrna Technologies Inc  Com</v>
      </c>
      <c r="B163" s="12" t="str">
        <f>IFERROR(__xludf.DUMMYFUNCTION("""COMPUTED_VALUE"""),"BYRN-US")</f>
        <v>BYRN-US</v>
      </c>
      <c r="C163" s="12"/>
      <c r="D163" s="13">
        <f>IFERROR(__xludf.DUMMYFUNCTION("""COMPUTED_VALUE"""),45400.0)</f>
        <v>45400</v>
      </c>
      <c r="E163" s="13">
        <f>IFERROR(__xludf.DUMMYFUNCTION("""COMPUTED_VALUE"""),45867.0)</f>
        <v>45867</v>
      </c>
      <c r="F163" s="13">
        <f>IFERROR(__xludf.DUMMYFUNCTION("""COMPUTED_VALUE"""),45867.0)</f>
        <v>45867</v>
      </c>
      <c r="G163" s="16" t="s">
        <v>5150</v>
      </c>
      <c r="H163" s="16" t="s">
        <v>5150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 t="str">
        <f>IFERROR(__xludf.DUMMYFUNCTION("""COMPUTED_VALUE"""),"Sezzle Inc  Com")</f>
        <v>Sezzle Inc  Com</v>
      </c>
      <c r="B164" s="12" t="str">
        <f>IFERROR(__xludf.DUMMYFUNCTION("""COMPUTED_VALUE"""),"SEZL-US")</f>
        <v>SEZL-US</v>
      </c>
      <c r="C164" s="12"/>
      <c r="D164" s="13">
        <f>IFERROR(__xludf.DUMMYFUNCTION("""COMPUTED_VALUE"""),45401.0)</f>
        <v>45401</v>
      </c>
      <c r="E164" s="13">
        <f>IFERROR(__xludf.DUMMYFUNCTION("""COMPUTED_VALUE"""),45818.0)</f>
        <v>45818</v>
      </c>
      <c r="F164" s="13">
        <f>IFERROR(__xludf.DUMMYFUNCTION("""COMPUTED_VALUE"""),45818.0)</f>
        <v>45818</v>
      </c>
      <c r="G164" s="16" t="s">
        <v>5153</v>
      </c>
      <c r="H164" s="16" t="s">
        <v>5153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 t="str">
        <f>IFERROR(__xludf.DUMMYFUNCTION("""COMPUTED_VALUE"""),"American Healthcare Reit Inc  Com")</f>
        <v>American Healthcare Reit Inc  Com</v>
      </c>
      <c r="B165" s="12" t="str">
        <f>IFERROR(__xludf.DUMMYFUNCTION("""COMPUTED_VALUE"""),"AHR-US")</f>
        <v>AHR-US</v>
      </c>
      <c r="C165" s="12"/>
      <c r="D165" s="13">
        <f>IFERROR(__xludf.DUMMYFUNCTION("""COMPUTED_VALUE"""),45405.0)</f>
        <v>45405</v>
      </c>
      <c r="E165" s="13">
        <f>IFERROR(__xludf.DUMMYFUNCTION("""COMPUTED_VALUE"""),45833.0)</f>
        <v>45833</v>
      </c>
      <c r="F165" s="13">
        <f>IFERROR(__xludf.DUMMYFUNCTION("""COMPUTED_VALUE"""),45833.0)</f>
        <v>45833</v>
      </c>
      <c r="G165" s="16" t="s">
        <v>5153</v>
      </c>
      <c r="H165" s="16" t="s">
        <v>5153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 t="str">
        <f>IFERROR(__xludf.DUMMYFUNCTION("""COMPUTED_VALUE"""),"Freshpet Inc  Com")</f>
        <v>Freshpet Inc  Com</v>
      </c>
      <c r="B166" s="12" t="str">
        <f>IFERROR(__xludf.DUMMYFUNCTION("""COMPUTED_VALUE"""),"FRPT-US")</f>
        <v>FRPT-US</v>
      </c>
      <c r="C166" s="12"/>
      <c r="D166" s="13">
        <f>IFERROR(__xludf.DUMMYFUNCTION("""COMPUTED_VALUE"""),45406.0)</f>
        <v>45406</v>
      </c>
      <c r="E166" s="13">
        <f>IFERROR(__xludf.DUMMYFUNCTION("""COMPUTED_VALUE"""),45772.0)</f>
        <v>45772</v>
      </c>
      <c r="F166" s="13">
        <f>IFERROR(__xludf.DUMMYFUNCTION("""COMPUTED_VALUE"""),45772.0)</f>
        <v>45772</v>
      </c>
      <c r="G166" s="16" t="s">
        <v>5153</v>
      </c>
      <c r="H166" s="16" t="s">
        <v>5153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 t="str">
        <f>IFERROR(__xludf.DUMMYFUNCTION("""COMPUTED_VALUE"""),"Bit Digital Inc  Com")</f>
        <v>Bit Digital Inc  Com</v>
      </c>
      <c r="B167" s="12" t="str">
        <f>IFERROR(__xludf.DUMMYFUNCTION("""COMPUTED_VALUE"""),"BTBT-US")</f>
        <v>BTBT-US</v>
      </c>
      <c r="C167" s="12"/>
      <c r="D167" s="13">
        <f>IFERROR(__xludf.DUMMYFUNCTION("""COMPUTED_VALUE"""),45406.0)</f>
        <v>45406</v>
      </c>
      <c r="E167" s="13">
        <f>IFERROR(__xludf.DUMMYFUNCTION("""COMPUTED_VALUE"""),45790.0)</f>
        <v>45790</v>
      </c>
      <c r="F167" s="13">
        <f>IFERROR(__xludf.DUMMYFUNCTION("""COMPUTED_VALUE"""),45790.0)</f>
        <v>45790</v>
      </c>
      <c r="G167" s="16" t="s">
        <v>5153</v>
      </c>
      <c r="H167" s="16" t="s">
        <v>5153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 t="str">
        <f>IFERROR(__xludf.DUMMYFUNCTION("""COMPUTED_VALUE"""),"Dorian Lpg Ltd  Com")</f>
        <v>Dorian Lpg Ltd  Com</v>
      </c>
      <c r="B168" s="12" t="str">
        <f>IFERROR(__xludf.DUMMYFUNCTION("""COMPUTED_VALUE"""),"LPG-US")</f>
        <v>LPG-US</v>
      </c>
      <c r="C168" s="12"/>
      <c r="D168" s="13">
        <f>IFERROR(__xludf.DUMMYFUNCTION("""COMPUTED_VALUE"""),45406.0)</f>
        <v>45406</v>
      </c>
      <c r="E168" s="13">
        <f>IFERROR(__xludf.DUMMYFUNCTION("""COMPUTED_VALUE"""),45905.0)</f>
        <v>45905</v>
      </c>
      <c r="F168" s="13">
        <f>IFERROR(__xludf.DUMMYFUNCTION("""COMPUTED_VALUE"""),45905.0)</f>
        <v>45905</v>
      </c>
      <c r="G168" s="16" t="s">
        <v>5153</v>
      </c>
      <c r="H168" s="16" t="s">
        <v>5153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 t="str">
        <f>IFERROR(__xludf.DUMMYFUNCTION("""COMPUTED_VALUE"""),"Boston Omaha Corp  Cl A")</f>
        <v>Boston Omaha Corp  Cl A</v>
      </c>
      <c r="B169" s="12" t="str">
        <f>IFERROR(__xludf.DUMMYFUNCTION("""COMPUTED_VALUE"""),"BOC-US")</f>
        <v>BOC-US</v>
      </c>
      <c r="C169" s="12"/>
      <c r="D169" s="13">
        <f>IFERROR(__xludf.DUMMYFUNCTION("""COMPUTED_VALUE"""),45406.0)</f>
        <v>45406</v>
      </c>
      <c r="E169" s="13">
        <f>IFERROR(__xludf.DUMMYFUNCTION("""COMPUTED_VALUE"""),45894.0)</f>
        <v>45894</v>
      </c>
      <c r="F169" s="13">
        <f>IFERROR(__xludf.DUMMYFUNCTION("""COMPUTED_VALUE"""),45894.0)</f>
        <v>45894</v>
      </c>
      <c r="G169" s="16" t="s">
        <v>5153</v>
      </c>
      <c r="H169" s="16" t="s">
        <v>5153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 t="str">
        <f>IFERROR(__xludf.DUMMYFUNCTION("""COMPUTED_VALUE"""),"Masimo Corp  Com")</f>
        <v>Masimo Corp  Com</v>
      </c>
      <c r="B170" s="12" t="str">
        <f>IFERROR(__xludf.DUMMYFUNCTION("""COMPUTED_VALUE"""),"MASI-US")</f>
        <v>MASI-US</v>
      </c>
      <c r="C170" s="12"/>
      <c r="D170" s="13">
        <f>IFERROR(__xludf.DUMMYFUNCTION("""COMPUTED_VALUE"""),45406.0)</f>
        <v>45406</v>
      </c>
      <c r="E170" s="13">
        <f>IFERROR(__xludf.DUMMYFUNCTION("""COMPUTED_VALUE"""),45776.0)</f>
        <v>45776</v>
      </c>
      <c r="F170" s="13">
        <f>IFERROR(__xludf.DUMMYFUNCTION("""COMPUTED_VALUE"""),45776.0)</f>
        <v>45776</v>
      </c>
      <c r="G170" s="16" t="s">
        <v>5153</v>
      </c>
      <c r="H170" s="16" t="s">
        <v>5153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 t="str">
        <f>IFERROR(__xludf.DUMMYFUNCTION("""COMPUTED_VALUE"""),"Agilysys Inc  Com")</f>
        <v>Agilysys Inc  Com</v>
      </c>
      <c r="B171" s="12" t="str">
        <f>IFERROR(__xludf.DUMMYFUNCTION("""COMPUTED_VALUE"""),"AGYS-US")</f>
        <v>AGYS-US</v>
      </c>
      <c r="C171" s="12"/>
      <c r="D171" s="13">
        <f>IFERROR(__xludf.DUMMYFUNCTION("""COMPUTED_VALUE"""),45406.0)</f>
        <v>45406</v>
      </c>
      <c r="E171" s="13">
        <f>IFERROR(__xludf.DUMMYFUNCTION("""COMPUTED_VALUE"""),45904.0)</f>
        <v>45904</v>
      </c>
      <c r="F171" s="13">
        <f>IFERROR(__xludf.DUMMYFUNCTION("""COMPUTED_VALUE"""),45904.0)</f>
        <v>45904</v>
      </c>
      <c r="G171" s="16" t="s">
        <v>5153</v>
      </c>
      <c r="H171" s="16" t="s">
        <v>5153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 t="str">
        <f>IFERROR(__xludf.DUMMYFUNCTION("""COMPUTED_VALUE"""),"Transcat Inc  Com")</f>
        <v>Transcat Inc  Com</v>
      </c>
      <c r="B172" s="12" t="str">
        <f>IFERROR(__xludf.DUMMYFUNCTION("""COMPUTED_VALUE"""),"TRNS-US")</f>
        <v>TRNS-US</v>
      </c>
      <c r="C172" s="12"/>
      <c r="D172" s="13">
        <f>IFERROR(__xludf.DUMMYFUNCTION("""COMPUTED_VALUE"""),45407.0)</f>
        <v>45407</v>
      </c>
      <c r="E172" s="13">
        <f>IFERROR(__xludf.DUMMYFUNCTION("""COMPUTED_VALUE"""),45910.0)</f>
        <v>45910</v>
      </c>
      <c r="F172" s="13">
        <f>IFERROR(__xludf.DUMMYFUNCTION("""COMPUTED_VALUE"""),45910.0)</f>
        <v>45910</v>
      </c>
      <c r="G172" s="16" t="s">
        <v>5153</v>
      </c>
      <c r="H172" s="16" t="s">
        <v>5153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 t="str">
        <f>IFERROR(__xludf.DUMMYFUNCTION("""COMPUTED_VALUE"""),"Nike Inc  Cl B")</f>
        <v>Nike Inc  Cl B</v>
      </c>
      <c r="B173" s="12" t="str">
        <f>IFERROR(__xludf.DUMMYFUNCTION("""COMPUTED_VALUE"""),"NKE-US")</f>
        <v>NKE-US</v>
      </c>
      <c r="C173" s="12"/>
      <c r="D173" s="13">
        <f>IFERROR(__xludf.DUMMYFUNCTION("""COMPUTED_VALUE"""),45407.0)</f>
        <v>45407</v>
      </c>
      <c r="E173" s="13">
        <f>IFERROR(__xludf.DUMMYFUNCTION("""COMPUTED_VALUE"""),45909.0)</f>
        <v>45909</v>
      </c>
      <c r="F173" s="13">
        <f>IFERROR(__xludf.DUMMYFUNCTION("""COMPUTED_VALUE"""),45909.0)</f>
        <v>45909</v>
      </c>
      <c r="G173" s="16" t="s">
        <v>5153</v>
      </c>
      <c r="H173" s="16" t="s">
        <v>5153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 t="str">
        <f>IFERROR(__xludf.DUMMYFUNCTION("""COMPUTED_VALUE"""),"Ast Spacemobile Inc  Cl A")</f>
        <v>Ast Spacemobile Inc  Cl A</v>
      </c>
      <c r="B174" s="12" t="str">
        <f>IFERROR(__xludf.DUMMYFUNCTION("""COMPUTED_VALUE"""),"ASTS-US")</f>
        <v>ASTS-US</v>
      </c>
      <c r="C174" s="12"/>
      <c r="D174" s="13">
        <f>IFERROR(__xludf.DUMMYFUNCTION("""COMPUTED_VALUE"""),45407.0)</f>
        <v>45407</v>
      </c>
      <c r="E174" s="13">
        <f>IFERROR(__xludf.DUMMYFUNCTION("""COMPUTED_VALUE"""),45814.0)</f>
        <v>45814</v>
      </c>
      <c r="F174" s="13">
        <f>IFERROR(__xludf.DUMMYFUNCTION("""COMPUTED_VALUE"""),45814.0)</f>
        <v>45814</v>
      </c>
      <c r="G174" s="16" t="s">
        <v>5153</v>
      </c>
      <c r="H174" s="16" t="s">
        <v>5153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 t="str">
        <f>IFERROR(__xludf.DUMMYFUNCTION("""COMPUTED_VALUE"""),"Rbc Bearings Inc  Com")</f>
        <v>Rbc Bearings Inc  Com</v>
      </c>
      <c r="B175" s="12" t="str">
        <f>IFERROR(__xludf.DUMMYFUNCTION("""COMPUTED_VALUE"""),"RBC-US")</f>
        <v>RBC-US</v>
      </c>
      <c r="C175" s="12"/>
      <c r="D175" s="13">
        <f>IFERROR(__xludf.DUMMYFUNCTION("""COMPUTED_VALUE"""),45407.0)</f>
        <v>45407</v>
      </c>
      <c r="E175" s="13">
        <f>IFERROR(__xludf.DUMMYFUNCTION("""COMPUTED_VALUE"""),45904.0)</f>
        <v>45904</v>
      </c>
      <c r="F175" s="13">
        <f>IFERROR(__xludf.DUMMYFUNCTION("""COMPUTED_VALUE"""),45904.0)</f>
        <v>45904</v>
      </c>
      <c r="G175" s="16" t="s">
        <v>5153</v>
      </c>
      <c r="H175" s="16" t="s">
        <v>5153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 t="str">
        <f>IFERROR(__xludf.DUMMYFUNCTION("""COMPUTED_VALUE"""),"Hamilton Lane Inc  Cl A")</f>
        <v>Hamilton Lane Inc  Cl A</v>
      </c>
      <c r="B176" s="12" t="str">
        <f>IFERROR(__xludf.DUMMYFUNCTION("""COMPUTED_VALUE"""),"HLNE-US")</f>
        <v>HLNE-US</v>
      </c>
      <c r="C176" s="12"/>
      <c r="D176" s="13">
        <f>IFERROR(__xludf.DUMMYFUNCTION("""COMPUTED_VALUE"""),45407.0)</f>
        <v>45407</v>
      </c>
      <c r="E176" s="13">
        <f>IFERROR(__xludf.DUMMYFUNCTION("""COMPUTED_VALUE"""),45904.0)</f>
        <v>45904</v>
      </c>
      <c r="F176" s="13">
        <f>IFERROR(__xludf.DUMMYFUNCTION("""COMPUTED_VALUE"""),45904.0)</f>
        <v>45904</v>
      </c>
      <c r="G176" s="16" t="s">
        <v>5153</v>
      </c>
      <c r="H176" s="16" t="s">
        <v>5153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 t="str">
        <f>IFERROR(__xludf.DUMMYFUNCTION("""COMPUTED_VALUE"""),"Capri Holdings Ltd  Com")</f>
        <v>Capri Holdings Ltd  Com</v>
      </c>
      <c r="B177" s="12" t="str">
        <f>IFERROR(__xludf.DUMMYFUNCTION("""COMPUTED_VALUE"""),"CPRI-US")</f>
        <v>CPRI-US</v>
      </c>
      <c r="C177" s="12"/>
      <c r="D177" s="13">
        <f>IFERROR(__xludf.DUMMYFUNCTION("""COMPUTED_VALUE"""),45407.0)</f>
        <v>45407</v>
      </c>
      <c r="E177" s="13">
        <f>IFERROR(__xludf.DUMMYFUNCTION("""COMPUTED_VALUE"""),45876.0)</f>
        <v>45876</v>
      </c>
      <c r="F177" s="13">
        <f>IFERROR(__xludf.DUMMYFUNCTION("""COMPUTED_VALUE"""),45876.0)</f>
        <v>45876</v>
      </c>
      <c r="G177" s="16" t="s">
        <v>5153</v>
      </c>
      <c r="H177" s="16" t="s">
        <v>5153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 t="str">
        <f>IFERROR(__xludf.DUMMYFUNCTION("""COMPUTED_VALUE"""),"Under Armour Inc  Cl A")</f>
        <v>Under Armour Inc  Cl A</v>
      </c>
      <c r="B178" s="12" t="str">
        <f>IFERROR(__xludf.DUMMYFUNCTION("""COMPUTED_VALUE"""),"UAA-US")</f>
        <v>UAA-US</v>
      </c>
      <c r="C178" s="12"/>
      <c r="D178" s="13">
        <f>IFERROR(__xludf.DUMMYFUNCTION("""COMPUTED_VALUE"""),45407.0)</f>
        <v>45407</v>
      </c>
      <c r="E178" s="13">
        <f>IFERROR(__xludf.DUMMYFUNCTION("""COMPUTED_VALUE"""),45903.0)</f>
        <v>45903</v>
      </c>
      <c r="F178" s="13">
        <f>IFERROR(__xludf.DUMMYFUNCTION("""COMPUTED_VALUE"""),45903.0)</f>
        <v>45903</v>
      </c>
      <c r="G178" s="16" t="s">
        <v>5153</v>
      </c>
      <c r="H178" s="16" t="s">
        <v>5153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 t="str">
        <f>IFERROR(__xludf.DUMMYFUNCTION("""COMPUTED_VALUE"""),"Under Armour Inc  Cl C Wi")</f>
        <v>Under Armour Inc  Cl C Wi</v>
      </c>
      <c r="B179" s="12" t="str">
        <f>IFERROR(__xludf.DUMMYFUNCTION("""COMPUTED_VALUE"""),"UA-US")</f>
        <v>UA-US</v>
      </c>
      <c r="C179" s="12"/>
      <c r="D179" s="13">
        <f>IFERROR(__xludf.DUMMYFUNCTION("""COMPUTED_VALUE"""),45407.0)</f>
        <v>45407</v>
      </c>
      <c r="E179" s="13">
        <f>IFERROR(__xludf.DUMMYFUNCTION("""COMPUTED_VALUE"""),45903.0)</f>
        <v>45903</v>
      </c>
      <c r="F179" s="13">
        <f>IFERROR(__xludf.DUMMYFUNCTION("""COMPUTED_VALUE"""),45903.0)</f>
        <v>45903</v>
      </c>
      <c r="G179" s="16" t="s">
        <v>5151</v>
      </c>
      <c r="H179" s="16" t="s">
        <v>5151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 t="str">
        <f>IFERROR(__xludf.DUMMYFUNCTION("""COMPUTED_VALUE"""),"Nuvation Bio Inc  Cl A")</f>
        <v>Nuvation Bio Inc  Cl A</v>
      </c>
      <c r="B180" s="12" t="str">
        <f>IFERROR(__xludf.DUMMYFUNCTION("""COMPUTED_VALUE"""),"NUVB-US")</f>
        <v>NUVB-US</v>
      </c>
      <c r="C180" s="12"/>
      <c r="D180" s="13">
        <f>IFERROR(__xludf.DUMMYFUNCTION("""COMPUTED_VALUE"""),45407.0)</f>
        <v>45407</v>
      </c>
      <c r="E180" s="13">
        <f>IFERROR(__xludf.DUMMYFUNCTION("""COMPUTED_VALUE"""),45798.0)</f>
        <v>45798</v>
      </c>
      <c r="F180" s="13">
        <f>IFERROR(__xludf.DUMMYFUNCTION("""COMPUTED_VALUE"""),45798.0)</f>
        <v>45798</v>
      </c>
      <c r="G180" s="16" t="s">
        <v>5153</v>
      </c>
      <c r="H180" s="16" t="s">
        <v>5153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 t="str">
        <f>IFERROR(__xludf.DUMMYFUNCTION("""COMPUTED_VALUE"""),"Mesa Labs Inc  Com")</f>
        <v>Mesa Labs Inc  Com</v>
      </c>
      <c r="B181" s="12" t="str">
        <f>IFERROR(__xludf.DUMMYFUNCTION("""COMPUTED_VALUE"""),"MLAB-US")</f>
        <v>MLAB-US</v>
      </c>
      <c r="C181" s="12"/>
      <c r="D181" s="13">
        <f>IFERROR(__xludf.DUMMYFUNCTION("""COMPUTED_VALUE"""),45407.0)</f>
        <v>45407</v>
      </c>
      <c r="E181" s="13">
        <f>IFERROR(__xludf.DUMMYFUNCTION("""COMPUTED_VALUE"""),45891.0)</f>
        <v>45891</v>
      </c>
      <c r="F181" s="13">
        <f>IFERROR(__xludf.DUMMYFUNCTION("""COMPUTED_VALUE"""),45891.0)</f>
        <v>45891</v>
      </c>
      <c r="G181" s="16" t="s">
        <v>5153</v>
      </c>
      <c r="H181" s="16" t="s">
        <v>5153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 t="str">
        <f>IFERROR(__xludf.DUMMYFUNCTION("""COMPUTED_VALUE"""),"3D Systems Corp  Com")</f>
        <v>3D Systems Corp  Com</v>
      </c>
      <c r="B182" s="12" t="str">
        <f>IFERROR(__xludf.DUMMYFUNCTION("""COMPUTED_VALUE"""),"DDD-US")</f>
        <v>DDD-US</v>
      </c>
      <c r="C182" s="12"/>
      <c r="D182" s="13">
        <f>IFERROR(__xludf.DUMMYFUNCTION("""COMPUTED_VALUE"""),45407.0)</f>
        <v>45407</v>
      </c>
      <c r="E182" s="13">
        <f>IFERROR(__xludf.DUMMYFUNCTION("""COMPUTED_VALUE"""),45734.0)</f>
        <v>45734</v>
      </c>
      <c r="F182" s="13">
        <f>IFERROR(__xludf.DUMMYFUNCTION("""COMPUTED_VALUE"""),45734.0)</f>
        <v>45734</v>
      </c>
      <c r="G182" s="16" t="s">
        <v>5153</v>
      </c>
      <c r="H182" s="16" t="s">
        <v>5153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 t="str">
        <f>IFERROR(__xludf.DUMMYFUNCTION("""COMPUTED_VALUE"""),"Doximity Inc  Cl A")</f>
        <v>Doximity Inc  Cl A</v>
      </c>
      <c r="B183" s="12" t="str">
        <f>IFERROR(__xludf.DUMMYFUNCTION("""COMPUTED_VALUE"""),"DOCS-US")</f>
        <v>DOCS-US</v>
      </c>
      <c r="C183" s="12"/>
      <c r="D183" s="13">
        <f>IFERROR(__xludf.DUMMYFUNCTION("""COMPUTED_VALUE"""),45407.0)</f>
        <v>45407</v>
      </c>
      <c r="E183" s="13">
        <f>IFERROR(__xludf.DUMMYFUNCTION("""COMPUTED_VALUE"""),45897.0)</f>
        <v>45897</v>
      </c>
      <c r="F183" s="13">
        <f>IFERROR(__xludf.DUMMYFUNCTION("""COMPUTED_VALUE"""),45897.0)</f>
        <v>45897</v>
      </c>
      <c r="G183" s="16" t="s">
        <v>5153</v>
      </c>
      <c r="H183" s="16" t="s">
        <v>5153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 t="str">
        <f>IFERROR(__xludf.DUMMYFUNCTION("""COMPUTED_VALUE"""),"Caseys General Stores Inc  Com")</f>
        <v>Caseys General Stores Inc  Com</v>
      </c>
      <c r="B184" s="12" t="str">
        <f>IFERROR(__xludf.DUMMYFUNCTION("""COMPUTED_VALUE"""),"CASY-US")</f>
        <v>CASY-US</v>
      </c>
      <c r="C184" s="12"/>
      <c r="D184" s="13">
        <f>IFERROR(__xludf.DUMMYFUNCTION("""COMPUTED_VALUE"""),45407.0)</f>
        <v>45407</v>
      </c>
      <c r="E184" s="13">
        <f>IFERROR(__xludf.DUMMYFUNCTION("""COMPUTED_VALUE"""),45903.0)</f>
        <v>45903</v>
      </c>
      <c r="F184" s="13">
        <f>IFERROR(__xludf.DUMMYFUNCTION("""COMPUTED_VALUE"""),45903.0)</f>
        <v>45903</v>
      </c>
      <c r="G184" s="16" t="s">
        <v>5151</v>
      </c>
      <c r="H184" s="16" t="s">
        <v>5151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 t="str">
        <f>IFERROR(__xludf.DUMMYFUNCTION("""COMPUTED_VALUE"""),"Boot Barn Holdings Inc  Com")</f>
        <v>Boot Barn Holdings Inc  Com</v>
      </c>
      <c r="B185" s="12" t="str">
        <f>IFERROR(__xludf.DUMMYFUNCTION("""COMPUTED_VALUE"""),"BOOT-US")</f>
        <v>BOOT-US</v>
      </c>
      <c r="C185" s="12"/>
      <c r="D185" s="13">
        <f>IFERROR(__xludf.DUMMYFUNCTION("""COMPUTED_VALUE"""),45407.0)</f>
        <v>45407</v>
      </c>
      <c r="E185" s="13">
        <f>IFERROR(__xludf.DUMMYFUNCTION("""COMPUTED_VALUE"""),45896.0)</f>
        <v>45896</v>
      </c>
      <c r="F185" s="13">
        <f>IFERROR(__xludf.DUMMYFUNCTION("""COMPUTED_VALUE"""),45896.0)</f>
        <v>45896</v>
      </c>
      <c r="G185" s="16" t="s">
        <v>5153</v>
      </c>
      <c r="H185" s="16" t="s">
        <v>5153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 t="str">
        <f>IFERROR(__xludf.DUMMYFUNCTION("""COMPUTED_VALUE"""),"Encore Energy Corp  Com")</f>
        <v>Encore Energy Corp  Com</v>
      </c>
      <c r="B186" s="12" t="str">
        <f>IFERROR(__xludf.DUMMYFUNCTION("""COMPUTED_VALUE"""),"EU-CA")</f>
        <v>EU-CA</v>
      </c>
      <c r="C186" s="12"/>
      <c r="D186" s="13">
        <f>IFERROR(__xludf.DUMMYFUNCTION("""COMPUTED_VALUE"""),45407.0)</f>
        <v>45407</v>
      </c>
      <c r="E186" s="13">
        <f>IFERROR(__xludf.DUMMYFUNCTION("""COMPUTED_VALUE"""),45819.0)</f>
        <v>45819</v>
      </c>
      <c r="F186" s="13">
        <f>IFERROR(__xludf.DUMMYFUNCTION("""COMPUTED_VALUE"""),45819.0)</f>
        <v>45819</v>
      </c>
      <c r="G186" s="16" t="s">
        <v>5152</v>
      </c>
      <c r="H186" s="16" t="s">
        <v>5152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 t="str">
        <f>IFERROR(__xludf.DUMMYFUNCTION("""COMPUTED_VALUE"""),"La Z Boy Inc  Com")</f>
        <v>La Z Boy Inc  Com</v>
      </c>
      <c r="B187" s="12" t="str">
        <f>IFERROR(__xludf.DUMMYFUNCTION("""COMPUTED_VALUE"""),"LZB-US")</f>
        <v>LZB-US</v>
      </c>
      <c r="C187" s="12"/>
      <c r="D187" s="13">
        <f>IFERROR(__xludf.DUMMYFUNCTION("""COMPUTED_VALUE"""),45407.0)</f>
        <v>45407</v>
      </c>
      <c r="E187" s="13">
        <f>IFERROR(__xludf.DUMMYFUNCTION("""COMPUTED_VALUE"""),45895.0)</f>
        <v>45895</v>
      </c>
      <c r="F187" s="13">
        <f>IFERROR(__xludf.DUMMYFUNCTION("""COMPUTED_VALUE"""),45895.0)</f>
        <v>45895</v>
      </c>
      <c r="G187" s="16" t="s">
        <v>5152</v>
      </c>
      <c r="H187" s="16" t="s">
        <v>5152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 t="str">
        <f>IFERROR(__xludf.DUMMYFUNCTION("""COMPUTED_VALUE"""),"Digital Turbine Inc  Com")</f>
        <v>Digital Turbine Inc  Com</v>
      </c>
      <c r="B188" s="12" t="str">
        <f>IFERROR(__xludf.DUMMYFUNCTION("""COMPUTED_VALUE"""),"APPS-US")</f>
        <v>APPS-US</v>
      </c>
      <c r="C188" s="12"/>
      <c r="D188" s="13">
        <f>IFERROR(__xludf.DUMMYFUNCTION("""COMPUTED_VALUE"""),45407.0)</f>
        <v>45407</v>
      </c>
      <c r="E188" s="13">
        <f>IFERROR(__xludf.DUMMYFUNCTION("""COMPUTED_VALUE"""),45895.0)</f>
        <v>45895</v>
      </c>
      <c r="F188" s="13">
        <f>IFERROR(__xludf.DUMMYFUNCTION("""COMPUTED_VALUE"""),45895.0)</f>
        <v>45895</v>
      </c>
      <c r="G188" s="16" t="s">
        <v>5153</v>
      </c>
      <c r="H188" s="16" t="s">
        <v>5153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 t="str">
        <f>IFERROR(__xludf.DUMMYFUNCTION("""COMPUTED_VALUE"""),"Dynatrace Inc  Com")</f>
        <v>Dynatrace Inc  Com</v>
      </c>
      <c r="B189" s="12" t="str">
        <f>IFERROR(__xludf.DUMMYFUNCTION("""COMPUTED_VALUE"""),"DT-US")</f>
        <v>DT-US</v>
      </c>
      <c r="C189" s="12"/>
      <c r="D189" s="13">
        <f>IFERROR(__xludf.DUMMYFUNCTION("""COMPUTED_VALUE"""),45407.0)</f>
        <v>45407</v>
      </c>
      <c r="E189" s="13">
        <f>IFERROR(__xludf.DUMMYFUNCTION("""COMPUTED_VALUE"""),45889.0)</f>
        <v>45889</v>
      </c>
      <c r="F189" s="13">
        <f>IFERROR(__xludf.DUMMYFUNCTION("""COMPUTED_VALUE"""),45889.0)</f>
        <v>45889</v>
      </c>
      <c r="G189" s="16" t="s">
        <v>5153</v>
      </c>
      <c r="H189" s="16" t="s">
        <v>5153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 t="str">
        <f>IFERROR(__xludf.DUMMYFUNCTION("""COMPUTED_VALUE"""),"Elf Beauty Inc  Com")</f>
        <v>Elf Beauty Inc  Com</v>
      </c>
      <c r="B190" s="12" t="str">
        <f>IFERROR(__xludf.DUMMYFUNCTION("""COMPUTED_VALUE"""),"ELF-US")</f>
        <v>ELF-US</v>
      </c>
      <c r="C190" s="12"/>
      <c r="D190" s="13">
        <f>IFERROR(__xludf.DUMMYFUNCTION("""COMPUTED_VALUE"""),45407.0)</f>
        <v>45407</v>
      </c>
      <c r="E190" s="13">
        <f>IFERROR(__xludf.DUMMYFUNCTION("""COMPUTED_VALUE"""),45890.0)</f>
        <v>45890</v>
      </c>
      <c r="F190" s="13">
        <f>IFERROR(__xludf.DUMMYFUNCTION("""COMPUTED_VALUE"""),45890.0)</f>
        <v>45890</v>
      </c>
      <c r="G190" s="16" t="s">
        <v>5151</v>
      </c>
      <c r="H190" s="16" t="s">
        <v>5151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 t="str">
        <f>IFERROR(__xludf.DUMMYFUNCTION("""COMPUTED_VALUE"""),"American Woodmark Corp  Com")</f>
        <v>American Woodmark Corp  Com</v>
      </c>
      <c r="B191" s="12" t="str">
        <f>IFERROR(__xludf.DUMMYFUNCTION("""COMPUTED_VALUE"""),"AMWD-US")</f>
        <v>AMWD-US</v>
      </c>
      <c r="C191" s="12"/>
      <c r="D191" s="13">
        <f>IFERROR(__xludf.DUMMYFUNCTION("""COMPUTED_VALUE"""),45407.0)</f>
        <v>45407</v>
      </c>
      <c r="E191" s="13">
        <f>IFERROR(__xludf.DUMMYFUNCTION("""COMPUTED_VALUE"""),45890.0)</f>
        <v>45890</v>
      </c>
      <c r="F191" s="13">
        <f>IFERROR(__xludf.DUMMYFUNCTION("""COMPUTED_VALUE"""),45890.0)</f>
        <v>45890</v>
      </c>
      <c r="G191" s="16" t="s">
        <v>5152</v>
      </c>
      <c r="H191" s="16" t="s">
        <v>5152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 t="str">
        <f>IFERROR(__xludf.DUMMYFUNCTION("""COMPUTED_VALUE"""),"Helen Of Troy Corp Ltd  Com")</f>
        <v>Helen Of Troy Corp Ltd  Com</v>
      </c>
      <c r="B192" s="12" t="str">
        <f>IFERROR(__xludf.DUMMYFUNCTION("""COMPUTED_VALUE"""),"HELE-US")</f>
        <v>HELE-US</v>
      </c>
      <c r="C192" s="12"/>
      <c r="D192" s="13">
        <f>IFERROR(__xludf.DUMMYFUNCTION("""COMPUTED_VALUE"""),45407.0)</f>
        <v>45407</v>
      </c>
      <c r="E192" s="13">
        <f>IFERROR(__xludf.DUMMYFUNCTION("""COMPUTED_VALUE"""),45889.0)</f>
        <v>45889</v>
      </c>
      <c r="F192" s="13">
        <f>IFERROR(__xludf.DUMMYFUNCTION("""COMPUTED_VALUE"""),45889.0)</f>
        <v>45889</v>
      </c>
      <c r="G192" s="16" t="s">
        <v>5153</v>
      </c>
      <c r="H192" s="16" t="s">
        <v>5153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 t="str">
        <f>IFERROR(__xludf.DUMMYFUNCTION("""COMPUTED_VALUE"""),"World Acceptance Corp/De  Com")</f>
        <v>World Acceptance Corp/De  Com</v>
      </c>
      <c r="B193" s="12" t="str">
        <f>IFERROR(__xludf.DUMMYFUNCTION("""COMPUTED_VALUE"""),"WRLD-US")</f>
        <v>WRLD-US</v>
      </c>
      <c r="C193" s="12"/>
      <c r="D193" s="13">
        <f>IFERROR(__xludf.DUMMYFUNCTION("""COMPUTED_VALUE"""),45407.0)</f>
        <v>45407</v>
      </c>
      <c r="E193" s="13">
        <f>IFERROR(__xludf.DUMMYFUNCTION("""COMPUTED_VALUE"""),45889.0)</f>
        <v>45889</v>
      </c>
      <c r="F193" s="13">
        <f>IFERROR(__xludf.DUMMYFUNCTION("""COMPUTED_VALUE"""),45889.0)</f>
        <v>45889</v>
      </c>
      <c r="G193" s="16" t="s">
        <v>5153</v>
      </c>
      <c r="H193" s="16" t="s">
        <v>5153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 t="str">
        <f>IFERROR(__xludf.DUMMYFUNCTION("""COMPUTED_VALUE"""),"Microchip Technology Inc  Com")</f>
        <v>Microchip Technology Inc  Com</v>
      </c>
      <c r="B194" s="12" t="str">
        <f>IFERROR(__xludf.DUMMYFUNCTION("""COMPUTED_VALUE"""),"MCHP-US")</f>
        <v>MCHP-US</v>
      </c>
      <c r="C194" s="12"/>
      <c r="D194" s="13">
        <f>IFERROR(__xludf.DUMMYFUNCTION("""COMPUTED_VALUE"""),45407.0)</f>
        <v>45407</v>
      </c>
      <c r="E194" s="13">
        <f>IFERROR(__xludf.DUMMYFUNCTION("""COMPUTED_VALUE"""),45888.0)</f>
        <v>45888</v>
      </c>
      <c r="F194" s="13">
        <f>IFERROR(__xludf.DUMMYFUNCTION("""COMPUTED_VALUE"""),45888.0)</f>
        <v>45888</v>
      </c>
      <c r="G194" s="16" t="s">
        <v>5153</v>
      </c>
      <c r="H194" s="16" t="s">
        <v>5153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 t="str">
        <f>IFERROR(__xludf.DUMMYFUNCTION("""COMPUTED_VALUE"""),"Graham Corp  Com")</f>
        <v>Graham Corp  Com</v>
      </c>
      <c r="B195" s="12" t="str">
        <f>IFERROR(__xludf.DUMMYFUNCTION("""COMPUTED_VALUE"""),"GHM-US")</f>
        <v>GHM-US</v>
      </c>
      <c r="C195" s="12"/>
      <c r="D195" s="13">
        <f>IFERROR(__xludf.DUMMYFUNCTION("""COMPUTED_VALUE"""),45407.0)</f>
        <v>45407</v>
      </c>
      <c r="E195" s="13">
        <f>IFERROR(__xludf.DUMMYFUNCTION("""COMPUTED_VALUE"""),45895.0)</f>
        <v>45895</v>
      </c>
      <c r="F195" s="13">
        <f>IFERROR(__xludf.DUMMYFUNCTION("""COMPUTED_VALUE"""),45895.0)</f>
        <v>45895</v>
      </c>
      <c r="G195" s="16" t="s">
        <v>5153</v>
      </c>
      <c r="H195" s="16" t="s">
        <v>5153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 t="str">
        <f>IFERROR(__xludf.DUMMYFUNCTION("""COMPUTED_VALUE"""),"Nextracker Inc  Cl A")</f>
        <v>Nextracker Inc  Cl A</v>
      </c>
      <c r="B196" s="12" t="str">
        <f>IFERROR(__xludf.DUMMYFUNCTION("""COMPUTED_VALUE"""),"NXT-US")</f>
        <v>NXT-US</v>
      </c>
      <c r="C196" s="12"/>
      <c r="D196" s="13">
        <f>IFERROR(__xludf.DUMMYFUNCTION("""COMPUTED_VALUE"""),45407.0)</f>
        <v>45407</v>
      </c>
      <c r="E196" s="13">
        <f>IFERROR(__xludf.DUMMYFUNCTION("""COMPUTED_VALUE"""),45887.0)</f>
        <v>45887</v>
      </c>
      <c r="F196" s="13">
        <f>IFERROR(__xludf.DUMMYFUNCTION("""COMPUTED_VALUE"""),45887.0)</f>
        <v>45887</v>
      </c>
      <c r="G196" s="16" t="s">
        <v>5153</v>
      </c>
      <c r="H196" s="16" t="s">
        <v>5153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 t="str">
        <f>IFERROR(__xludf.DUMMYFUNCTION("""COMPUTED_VALUE"""),"Modine Manufacturing Co  Com")</f>
        <v>Modine Manufacturing Co  Com</v>
      </c>
      <c r="B197" s="12" t="str">
        <f>IFERROR(__xludf.DUMMYFUNCTION("""COMPUTED_VALUE"""),"MOD-US")</f>
        <v>MOD-US</v>
      </c>
      <c r="C197" s="12"/>
      <c r="D197" s="13">
        <f>IFERROR(__xludf.DUMMYFUNCTION("""COMPUTED_VALUE"""),45407.0)</f>
        <v>45407</v>
      </c>
      <c r="E197" s="13">
        <f>IFERROR(__xludf.DUMMYFUNCTION("""COMPUTED_VALUE"""),45890.0)</f>
        <v>45890</v>
      </c>
      <c r="F197" s="13">
        <f>IFERROR(__xludf.DUMMYFUNCTION("""COMPUTED_VALUE"""),45890.0)</f>
        <v>45890</v>
      </c>
      <c r="G197" s="16" t="s">
        <v>5153</v>
      </c>
      <c r="H197" s="16" t="s">
        <v>5153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 t="str">
        <f>IFERROR(__xludf.DUMMYFUNCTION("""COMPUTED_VALUE"""),"U Haul Holding Co  Com N Nvtg")</f>
        <v>U Haul Holding Co  Com N Nvtg</v>
      </c>
      <c r="B198" s="12" t="str">
        <f>IFERROR(__xludf.DUMMYFUNCTION("""COMPUTED_VALUE"""),"UHAL.B-US")</f>
        <v>UHAL.B-US</v>
      </c>
      <c r="C198" s="12"/>
      <c r="D198" s="13">
        <f>IFERROR(__xludf.DUMMYFUNCTION("""COMPUTED_VALUE"""),45407.0)</f>
        <v>45407</v>
      </c>
      <c r="E198" s="13">
        <f>IFERROR(__xludf.DUMMYFUNCTION("""COMPUTED_VALUE"""),45890.0)</f>
        <v>45890</v>
      </c>
      <c r="F198" s="13">
        <f>IFERROR(__xludf.DUMMYFUNCTION("""COMPUTED_VALUE"""),45890.0)</f>
        <v>45890</v>
      </c>
      <c r="G198" s="16" t="s">
        <v>5151</v>
      </c>
      <c r="H198" s="16" t="s">
        <v>5151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 t="str">
        <f>IFERROR(__xludf.DUMMYFUNCTION("""COMPUTED_VALUE"""),"Csw Industrials Inc  Com")</f>
        <v>Csw Industrials Inc  Com</v>
      </c>
      <c r="B199" s="12" t="str">
        <f>IFERROR(__xludf.DUMMYFUNCTION("""COMPUTED_VALUE"""),"CSWI-US")</f>
        <v>CSWI-US</v>
      </c>
      <c r="C199" s="12"/>
      <c r="D199" s="13">
        <f>IFERROR(__xludf.DUMMYFUNCTION("""COMPUTED_VALUE"""),45407.0)</f>
        <v>45407</v>
      </c>
      <c r="E199" s="13">
        <f>IFERROR(__xludf.DUMMYFUNCTION("""COMPUTED_VALUE"""),45897.0)</f>
        <v>45897</v>
      </c>
      <c r="F199" s="13">
        <f>IFERROR(__xludf.DUMMYFUNCTION("""COMPUTED_VALUE"""),45897.0)</f>
        <v>45897</v>
      </c>
      <c r="G199" s="16" t="s">
        <v>5153</v>
      </c>
      <c r="H199" s="16" t="s">
        <v>5153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 t="str">
        <f>IFERROR(__xludf.DUMMYFUNCTION("""COMPUTED_VALUE"""),"U Haul Holding Co  Com")</f>
        <v>U Haul Holding Co  Com</v>
      </c>
      <c r="B200" s="12" t="str">
        <f>IFERROR(__xludf.DUMMYFUNCTION("""COMPUTED_VALUE"""),"UHAL-US")</f>
        <v>UHAL-US</v>
      </c>
      <c r="C200" s="12"/>
      <c r="D200" s="13">
        <f>IFERROR(__xludf.DUMMYFUNCTION("""COMPUTED_VALUE"""),45407.0)</f>
        <v>45407</v>
      </c>
      <c r="E200" s="13">
        <f>IFERROR(__xludf.DUMMYFUNCTION("""COMPUTED_VALUE"""),45890.0)</f>
        <v>45890</v>
      </c>
      <c r="F200" s="13">
        <f>IFERROR(__xludf.DUMMYFUNCTION("""COMPUTED_VALUE"""),45890.0)</f>
        <v>45890</v>
      </c>
      <c r="G200" s="16" t="s">
        <v>5153</v>
      </c>
      <c r="H200" s="16" t="s">
        <v>5153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 t="str">
        <f>IFERROR(__xludf.DUMMYFUNCTION("""COMPUTED_VALUE"""),"8X8 Inc  Com")</f>
        <v>8X8 Inc  Com</v>
      </c>
      <c r="B201" s="12" t="str">
        <f>IFERROR(__xludf.DUMMYFUNCTION("""COMPUTED_VALUE"""),"EGHT-US")</f>
        <v>EGHT-US</v>
      </c>
      <c r="C201" s="12"/>
      <c r="D201" s="13">
        <f>IFERROR(__xludf.DUMMYFUNCTION("""COMPUTED_VALUE"""),45407.0)</f>
        <v>45407</v>
      </c>
      <c r="E201" s="13">
        <f>IFERROR(__xludf.DUMMYFUNCTION("""COMPUTED_VALUE"""),45863.0)</f>
        <v>45863</v>
      </c>
      <c r="F201" s="13">
        <f>IFERROR(__xludf.DUMMYFUNCTION("""COMPUTED_VALUE"""),45863.0)</f>
        <v>45863</v>
      </c>
      <c r="G201" s="16" t="s">
        <v>5150</v>
      </c>
      <c r="H201" s="16" t="s">
        <v>5150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 t="str">
        <f>IFERROR(__xludf.DUMMYFUNCTION("""COMPUTED_VALUE"""),"Trimble Inc  Com")</f>
        <v>Trimble Inc  Com</v>
      </c>
      <c r="B202" s="12" t="str">
        <f>IFERROR(__xludf.DUMMYFUNCTION("""COMPUTED_VALUE"""),"TRMB-US")</f>
        <v>TRMB-US</v>
      </c>
      <c r="C202" s="12"/>
      <c r="D202" s="13">
        <f>IFERROR(__xludf.DUMMYFUNCTION("""COMPUTED_VALUE"""),45407.0)</f>
        <v>45407</v>
      </c>
      <c r="E202" s="13">
        <f>IFERROR(__xludf.DUMMYFUNCTION("""COMPUTED_VALUE"""),45825.0)</f>
        <v>45825</v>
      </c>
      <c r="F202" s="13">
        <f>IFERROR(__xludf.DUMMYFUNCTION("""COMPUTED_VALUE"""),45825.0)</f>
        <v>45825</v>
      </c>
      <c r="G202" s="16" t="s">
        <v>5150</v>
      </c>
      <c r="H202" s="16" t="s">
        <v>5150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 t="str">
        <f>IFERROR(__xludf.DUMMYFUNCTION("""COMPUTED_VALUE"""),"Jm Smucker Co  Com")</f>
        <v>Jm Smucker Co  Com</v>
      </c>
      <c r="B203" s="12" t="str">
        <f>IFERROR(__xludf.DUMMYFUNCTION("""COMPUTED_VALUE"""),"SJM-US")</f>
        <v>SJM-US</v>
      </c>
      <c r="C203" s="12"/>
      <c r="D203" s="13">
        <f>IFERROR(__xludf.DUMMYFUNCTION("""COMPUTED_VALUE"""),45407.0)</f>
        <v>45407</v>
      </c>
      <c r="E203" s="13">
        <f>IFERROR(__xludf.DUMMYFUNCTION("""COMPUTED_VALUE"""),45882.0)</f>
        <v>45882</v>
      </c>
      <c r="F203" s="13">
        <f>IFERROR(__xludf.DUMMYFUNCTION("""COMPUTED_VALUE"""),45882.0)</f>
        <v>45882</v>
      </c>
      <c r="G203" s="16" t="s">
        <v>5151</v>
      </c>
      <c r="H203" s="16" t="s">
        <v>5151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 t="str">
        <f>IFERROR(__xludf.DUMMYFUNCTION("""COMPUTED_VALUE"""),"Borr Drilling Ltd  Ord")</f>
        <v>Borr Drilling Ltd  Ord</v>
      </c>
      <c r="B204" s="12" t="str">
        <f>IFERROR(__xludf.DUMMYFUNCTION("""COMPUTED_VALUE"""),"BORR-US")</f>
        <v>BORR-US</v>
      </c>
      <c r="C204" s="12"/>
      <c r="D204" s="13">
        <f>IFERROR(__xludf.DUMMYFUNCTION("""COMPUTED_VALUE"""),45407.0)</f>
        <v>45407</v>
      </c>
      <c r="E204" s="13">
        <f>IFERROR(__xludf.DUMMYFUNCTION("""COMPUTED_VALUE"""),45798.0)</f>
        <v>45798</v>
      </c>
      <c r="F204" s="13">
        <f>IFERROR(__xludf.DUMMYFUNCTION("""COMPUTED_VALUE"""),45798.0)</f>
        <v>45798</v>
      </c>
      <c r="G204" s="16" t="s">
        <v>5152</v>
      </c>
      <c r="H204" s="16" t="s">
        <v>5152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 t="str">
        <f>IFERROR(__xludf.DUMMYFUNCTION("""COMPUTED_VALUE"""),"Qorvo Inc  Com")</f>
        <v>Qorvo Inc  Com</v>
      </c>
      <c r="B205" s="12" t="str">
        <f>IFERROR(__xludf.DUMMYFUNCTION("""COMPUTED_VALUE"""),"QRVO-US")</f>
        <v>QRVO-US</v>
      </c>
      <c r="C205" s="12"/>
      <c r="D205" s="13">
        <f>IFERROR(__xludf.DUMMYFUNCTION("""COMPUTED_VALUE"""),45407.0)</f>
        <v>45407</v>
      </c>
      <c r="E205" s="13">
        <f>IFERROR(__xludf.DUMMYFUNCTION("""COMPUTED_VALUE"""),45882.0)</f>
        <v>45882</v>
      </c>
      <c r="F205" s="13">
        <f>IFERROR(__xludf.DUMMYFUNCTION("""COMPUTED_VALUE"""),45882.0)</f>
        <v>45882</v>
      </c>
      <c r="G205" s="16" t="s">
        <v>5150</v>
      </c>
      <c r="H205" s="16" t="s">
        <v>5150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 t="str">
        <f>IFERROR(__xludf.DUMMYFUNCTION("""COMPUTED_VALUE"""),"Golar Lng Ltd  Ord")</f>
        <v>Golar Lng Ltd  Ord</v>
      </c>
      <c r="B206" s="12" t="str">
        <f>IFERROR(__xludf.DUMMYFUNCTION("""COMPUTED_VALUE"""),"GLNG-US")</f>
        <v>GLNG-US</v>
      </c>
      <c r="C206" s="12"/>
      <c r="D206" s="13">
        <f>IFERROR(__xludf.DUMMYFUNCTION("""COMPUTED_VALUE"""),45407.0)</f>
        <v>45407</v>
      </c>
      <c r="E206" s="13">
        <f>IFERROR(__xludf.DUMMYFUNCTION("""COMPUTED_VALUE"""),45797.0)</f>
        <v>45797</v>
      </c>
      <c r="F206" s="13">
        <f>IFERROR(__xludf.DUMMYFUNCTION("""COMPUTED_VALUE"""),45797.0)</f>
        <v>45797</v>
      </c>
      <c r="G206" s="16" t="s">
        <v>5152</v>
      </c>
      <c r="H206" s="16" t="s">
        <v>5152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 t="str">
        <f>IFERROR(__xludf.DUMMYFUNCTION("""COMPUTED_VALUE"""),"Liveramp Holdings Inc  Com")</f>
        <v>Liveramp Holdings Inc  Com</v>
      </c>
      <c r="B207" s="12" t="str">
        <f>IFERROR(__xludf.DUMMYFUNCTION("""COMPUTED_VALUE"""),"RAMP-US")</f>
        <v>RAMP-US</v>
      </c>
      <c r="C207" s="12"/>
      <c r="D207" s="13">
        <f>IFERROR(__xludf.DUMMYFUNCTION("""COMPUTED_VALUE"""),45407.0)</f>
        <v>45407</v>
      </c>
      <c r="E207" s="13">
        <f>IFERROR(__xludf.DUMMYFUNCTION("""COMPUTED_VALUE"""),45881.0)</f>
        <v>45881</v>
      </c>
      <c r="F207" s="13">
        <f>IFERROR(__xludf.DUMMYFUNCTION("""COMPUTED_VALUE"""),45881.0)</f>
        <v>45881</v>
      </c>
      <c r="G207" s="16" t="s">
        <v>5153</v>
      </c>
      <c r="H207" s="16" t="s">
        <v>5153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 t="str">
        <f>IFERROR(__xludf.DUMMYFUNCTION("""COMPUTED_VALUE"""),"Monro Inc  Com")</f>
        <v>Monro Inc  Com</v>
      </c>
      <c r="B208" s="12" t="str">
        <f>IFERROR(__xludf.DUMMYFUNCTION("""COMPUTED_VALUE"""),"MNRO-US")</f>
        <v>MNRO-US</v>
      </c>
      <c r="C208" s="12"/>
      <c r="D208" s="13">
        <f>IFERROR(__xludf.DUMMYFUNCTION("""COMPUTED_VALUE"""),45407.0)</f>
        <v>45407</v>
      </c>
      <c r="E208" s="13">
        <f>IFERROR(__xludf.DUMMYFUNCTION("""COMPUTED_VALUE"""),45881.0)</f>
        <v>45881</v>
      </c>
      <c r="F208" s="13">
        <f>IFERROR(__xludf.DUMMYFUNCTION("""COMPUTED_VALUE"""),45881.0)</f>
        <v>45881</v>
      </c>
      <c r="G208" s="16" t="s">
        <v>5153</v>
      </c>
      <c r="H208" s="16" t="s">
        <v>5153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 t="str">
        <f>IFERROR(__xludf.DUMMYFUNCTION("""COMPUTED_VALUE"""),"Immunovant Inc  Com")</f>
        <v>Immunovant Inc  Com</v>
      </c>
      <c r="B209" s="12" t="str">
        <f>IFERROR(__xludf.DUMMYFUNCTION("""COMPUTED_VALUE"""),"IMVT-US")</f>
        <v>IMVT-US</v>
      </c>
      <c r="C209" s="12"/>
      <c r="D209" s="13">
        <f>IFERROR(__xludf.DUMMYFUNCTION("""COMPUTED_VALUE"""),45407.0)</f>
        <v>45407</v>
      </c>
      <c r="E209" s="13">
        <f>IFERROR(__xludf.DUMMYFUNCTION("""COMPUTED_VALUE"""),45896.0)</f>
        <v>45896</v>
      </c>
      <c r="F209" s="13">
        <f>IFERROR(__xludf.DUMMYFUNCTION("""COMPUTED_VALUE"""),45896.0)</f>
        <v>45896</v>
      </c>
      <c r="G209" s="16" t="s">
        <v>5153</v>
      </c>
      <c r="H209" s="16" t="s">
        <v>5153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 t="str">
        <f>IFERROR(__xludf.DUMMYFUNCTION("""COMPUTED_VALUE"""),"Albertsons Cos Inc  Com")</f>
        <v>Albertsons Cos Inc  Com</v>
      </c>
      <c r="B210" s="12" t="str">
        <f>IFERROR(__xludf.DUMMYFUNCTION("""COMPUTED_VALUE"""),"ACI-US")</f>
        <v>ACI-US</v>
      </c>
      <c r="C210" s="12"/>
      <c r="D210" s="13">
        <f>IFERROR(__xludf.DUMMYFUNCTION("""COMPUTED_VALUE"""),45407.0)</f>
        <v>45407</v>
      </c>
      <c r="E210" s="13">
        <f>IFERROR(__xludf.DUMMYFUNCTION("""COMPUTED_VALUE"""),45876.0)</f>
        <v>45876</v>
      </c>
      <c r="F210" s="13">
        <f>IFERROR(__xludf.DUMMYFUNCTION("""COMPUTED_VALUE"""),45876.0)</f>
        <v>45876</v>
      </c>
      <c r="G210" s="16" t="s">
        <v>5150</v>
      </c>
      <c r="H210" s="16" t="s">
        <v>5152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 t="str">
        <f>IFERROR(__xludf.DUMMYFUNCTION("""COMPUTED_VALUE"""),"Commvault Systems Inc  Com")</f>
        <v>Commvault Systems Inc  Com</v>
      </c>
      <c r="B211" s="12" t="str">
        <f>IFERROR(__xludf.DUMMYFUNCTION("""COMPUTED_VALUE"""),"CVLT-US")</f>
        <v>CVLT-US</v>
      </c>
      <c r="C211" s="12"/>
      <c r="D211" s="13">
        <f>IFERROR(__xludf.DUMMYFUNCTION("""COMPUTED_VALUE"""),45407.0)</f>
        <v>45407</v>
      </c>
      <c r="E211" s="13">
        <f>IFERROR(__xludf.DUMMYFUNCTION("""COMPUTED_VALUE"""),45876.0)</f>
        <v>45876</v>
      </c>
      <c r="F211" s="13">
        <f>IFERROR(__xludf.DUMMYFUNCTION("""COMPUTED_VALUE"""),45876.0)</f>
        <v>45876</v>
      </c>
      <c r="G211" s="16" t="s">
        <v>5152</v>
      </c>
      <c r="H211" s="16" t="s">
        <v>5152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 t="str">
        <f>IFERROR(__xludf.DUMMYFUNCTION("""COMPUTED_VALUE"""),"Allegro Microsystems Inc  Com")</f>
        <v>Allegro Microsystems Inc  Com</v>
      </c>
      <c r="B212" s="12" t="str">
        <f>IFERROR(__xludf.DUMMYFUNCTION("""COMPUTED_VALUE"""),"ALGM-US")</f>
        <v>ALGM-US</v>
      </c>
      <c r="C212" s="12"/>
      <c r="D212" s="13">
        <f>IFERROR(__xludf.DUMMYFUNCTION("""COMPUTED_VALUE"""),45407.0)</f>
        <v>45407</v>
      </c>
      <c r="E212" s="13">
        <f>IFERROR(__xludf.DUMMYFUNCTION("""COMPUTED_VALUE"""),45876.0)</f>
        <v>45876</v>
      </c>
      <c r="F212" s="13">
        <f>IFERROR(__xludf.DUMMYFUNCTION("""COMPUTED_VALUE"""),45876.0)</f>
        <v>45876</v>
      </c>
      <c r="G212" s="16" t="s">
        <v>5152</v>
      </c>
      <c r="H212" s="16" t="s">
        <v>5152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 t="str">
        <f>IFERROR(__xludf.DUMMYFUNCTION("""COMPUTED_VALUE"""),"Seneca Foods Corp  Cl A")</f>
        <v>Seneca Foods Corp  Cl A</v>
      </c>
      <c r="B213" s="12" t="str">
        <f>IFERROR(__xludf.DUMMYFUNCTION("""COMPUTED_VALUE"""),"SENEA-US")</f>
        <v>SENEA-US</v>
      </c>
      <c r="C213" s="12"/>
      <c r="D213" s="13">
        <f>IFERROR(__xludf.DUMMYFUNCTION("""COMPUTED_VALUE"""),45407.0)</f>
        <v>45407</v>
      </c>
      <c r="E213" s="13">
        <f>IFERROR(__xludf.DUMMYFUNCTION("""COMPUTED_VALUE"""),45876.0)</f>
        <v>45876</v>
      </c>
      <c r="F213" s="13">
        <f>IFERROR(__xludf.DUMMYFUNCTION("""COMPUTED_VALUE"""),45876.0)</f>
        <v>45876</v>
      </c>
      <c r="G213" s="16" t="s">
        <v>5153</v>
      </c>
      <c r="H213" s="16" t="s">
        <v>5153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 t="str">
        <f>IFERROR(__xludf.DUMMYFUNCTION("""COMPUTED_VALUE"""),"Pangaea Logistics Solutions Ltd  Com")</f>
        <v>Pangaea Logistics Solutions Ltd  Com</v>
      </c>
      <c r="B214" s="12" t="str">
        <f>IFERROR(__xludf.DUMMYFUNCTION("""COMPUTED_VALUE"""),"PANL-US")</f>
        <v>PANL-US</v>
      </c>
      <c r="C214" s="12"/>
      <c r="D214" s="13">
        <f>IFERROR(__xludf.DUMMYFUNCTION("""COMPUTED_VALUE"""),45407.0)</f>
        <v>45407</v>
      </c>
      <c r="E214" s="13">
        <f>IFERROR(__xludf.DUMMYFUNCTION("""COMPUTED_VALUE"""),45785.0)</f>
        <v>45785</v>
      </c>
      <c r="F214" s="13">
        <f>IFERROR(__xludf.DUMMYFUNCTION("""COMPUTED_VALUE"""),45785.0)</f>
        <v>45785</v>
      </c>
      <c r="G214" s="16" t="s">
        <v>5153</v>
      </c>
      <c r="H214" s="16" t="s">
        <v>5153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 t="str">
        <f>IFERROR(__xludf.DUMMYFUNCTION("""COMPUTED_VALUE"""),"Destination Xl Group Inc  Com")</f>
        <v>Destination Xl Group Inc  Com</v>
      </c>
      <c r="B215" s="12" t="str">
        <f>IFERROR(__xludf.DUMMYFUNCTION("""COMPUTED_VALUE"""),"DXLG-US")</f>
        <v>DXLG-US</v>
      </c>
      <c r="C215" s="12"/>
      <c r="D215" s="13">
        <f>IFERROR(__xludf.DUMMYFUNCTION("""COMPUTED_VALUE"""),45407.0)</f>
        <v>45407</v>
      </c>
      <c r="E215" s="13">
        <f>IFERROR(__xludf.DUMMYFUNCTION("""COMPUTED_VALUE"""),45876.0)</f>
        <v>45876</v>
      </c>
      <c r="F215" s="13">
        <f>IFERROR(__xludf.DUMMYFUNCTION("""COMPUTED_VALUE"""),45876.0)</f>
        <v>45876</v>
      </c>
      <c r="G215" s="16" t="s">
        <v>5153</v>
      </c>
      <c r="H215" s="16" t="s">
        <v>5153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 t="str">
        <f>IFERROR(__xludf.DUMMYFUNCTION("""COMPUTED_VALUE"""),"Prestige Consumer Healthcare  Com")</f>
        <v>Prestige Consumer Healthcare  Com</v>
      </c>
      <c r="B216" s="12" t="str">
        <f>IFERROR(__xludf.DUMMYFUNCTION("""COMPUTED_VALUE"""),"PBH-US")</f>
        <v>PBH-US</v>
      </c>
      <c r="C216" s="12"/>
      <c r="D216" s="13">
        <f>IFERROR(__xludf.DUMMYFUNCTION("""COMPUTED_VALUE"""),45407.0)</f>
        <v>45407</v>
      </c>
      <c r="E216" s="13">
        <f>IFERROR(__xludf.DUMMYFUNCTION("""COMPUTED_VALUE"""),45874.0)</f>
        <v>45874</v>
      </c>
      <c r="F216" s="13">
        <f>IFERROR(__xludf.DUMMYFUNCTION("""COMPUTED_VALUE"""),45874.0)</f>
        <v>45874</v>
      </c>
      <c r="G216" s="16" t="s">
        <v>5150</v>
      </c>
      <c r="H216" s="16" t="s">
        <v>5152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 t="str">
        <f>IFERROR(__xludf.DUMMYFUNCTION("""COMPUTED_VALUE"""),"Spectrum Brands Holdings Inc  Com")</f>
        <v>Spectrum Brands Holdings Inc  Com</v>
      </c>
      <c r="B217" s="12" t="str">
        <f>IFERROR(__xludf.DUMMYFUNCTION("""COMPUTED_VALUE"""),"SPB-US")</f>
        <v>SPB-US</v>
      </c>
      <c r="C217" s="12"/>
      <c r="D217" s="13">
        <f>IFERROR(__xludf.DUMMYFUNCTION("""COMPUTED_VALUE"""),45407.0)</f>
        <v>45407</v>
      </c>
      <c r="E217" s="13">
        <f>IFERROR(__xludf.DUMMYFUNCTION("""COMPUTED_VALUE"""),45874.0)</f>
        <v>45874</v>
      </c>
      <c r="F217" s="13">
        <f>IFERROR(__xludf.DUMMYFUNCTION("""COMPUTED_VALUE"""),45874.0)</f>
        <v>45874</v>
      </c>
      <c r="G217" s="16" t="s">
        <v>5153</v>
      </c>
      <c r="H217" s="16" t="s">
        <v>5153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 t="str">
        <f>IFERROR(__xludf.DUMMYFUNCTION("""COMPUTED_VALUE"""),"Universal Corp  Com")</f>
        <v>Universal Corp  Com</v>
      </c>
      <c r="B218" s="12" t="str">
        <f>IFERROR(__xludf.DUMMYFUNCTION("""COMPUTED_VALUE"""),"UVV-US")</f>
        <v>UVV-US</v>
      </c>
      <c r="C218" s="12"/>
      <c r="D218" s="13">
        <f>IFERROR(__xludf.DUMMYFUNCTION("""COMPUTED_VALUE"""),45407.0)</f>
        <v>45407</v>
      </c>
      <c r="E218" s="13">
        <f>IFERROR(__xludf.DUMMYFUNCTION("""COMPUTED_VALUE"""),45874.0)</f>
        <v>45874</v>
      </c>
      <c r="F218" s="13">
        <f>IFERROR(__xludf.DUMMYFUNCTION("""COMPUTED_VALUE"""),45874.0)</f>
        <v>45874</v>
      </c>
      <c r="G218" s="16" t="s">
        <v>5153</v>
      </c>
      <c r="H218" s="16" t="s">
        <v>5153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 t="str">
        <f>IFERROR(__xludf.DUMMYFUNCTION("""COMPUTED_VALUE"""),"Anterix Inc  Com")</f>
        <v>Anterix Inc  Com</v>
      </c>
      <c r="B219" s="12" t="str">
        <f>IFERROR(__xludf.DUMMYFUNCTION("""COMPUTED_VALUE"""),"ATEX-US")</f>
        <v>ATEX-US</v>
      </c>
      <c r="C219" s="12"/>
      <c r="D219" s="13">
        <f>IFERROR(__xludf.DUMMYFUNCTION("""COMPUTED_VALUE"""),45042.0)</f>
        <v>45042</v>
      </c>
      <c r="E219" s="13">
        <f>IFERROR(__xludf.DUMMYFUNCTION("""COMPUTED_VALUE"""),45874.0)</f>
        <v>45874</v>
      </c>
      <c r="F219" s="13">
        <f>IFERROR(__xludf.DUMMYFUNCTION("""COMPUTED_VALUE"""),45874.0)</f>
        <v>45874</v>
      </c>
      <c r="G219" s="16" t="s">
        <v>5153</v>
      </c>
      <c r="H219" s="16" t="s">
        <v>5153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 t="str">
        <f>IFERROR(__xludf.DUMMYFUNCTION("""COMPUTED_VALUE"""),"American Superconductor Corp  Com")</f>
        <v>American Superconductor Corp  Com</v>
      </c>
      <c r="B220" s="12" t="str">
        <f>IFERROR(__xludf.DUMMYFUNCTION("""COMPUTED_VALUE"""),"AMSC-US")</f>
        <v>AMSC-US</v>
      </c>
      <c r="C220" s="12"/>
      <c r="D220" s="13">
        <f>IFERROR(__xludf.DUMMYFUNCTION("""COMPUTED_VALUE"""),45408.0)</f>
        <v>45408</v>
      </c>
      <c r="E220" s="13">
        <f>IFERROR(__xludf.DUMMYFUNCTION("""COMPUTED_VALUE"""),45863.0)</f>
        <v>45863</v>
      </c>
      <c r="F220" s="13">
        <f>IFERROR(__xludf.DUMMYFUNCTION("""COMPUTED_VALUE"""),45863.0)</f>
        <v>45863</v>
      </c>
      <c r="G220" s="16" t="s">
        <v>5153</v>
      </c>
      <c r="H220" s="16" t="s">
        <v>5153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 t="str">
        <f>IFERROR(__xludf.DUMMYFUNCTION("""COMPUTED_VALUE"""),"Electronic Arts Inc  Com")</f>
        <v>Electronic Arts Inc  Com</v>
      </c>
      <c r="B221" s="12" t="str">
        <f>IFERROR(__xludf.DUMMYFUNCTION("""COMPUTED_VALUE"""),"EA-US")</f>
        <v>EA-US</v>
      </c>
      <c r="C221" s="12"/>
      <c r="D221" s="13">
        <f>IFERROR(__xludf.DUMMYFUNCTION("""COMPUTED_VALUE"""),45408.0)</f>
        <v>45408</v>
      </c>
      <c r="E221" s="13">
        <f>IFERROR(__xludf.DUMMYFUNCTION("""COMPUTED_VALUE"""),45883.0)</f>
        <v>45883</v>
      </c>
      <c r="F221" s="13">
        <f>IFERROR(__xludf.DUMMYFUNCTION("""COMPUTED_VALUE"""),45883.0)</f>
        <v>45883</v>
      </c>
      <c r="G221" s="16" t="s">
        <v>5153</v>
      </c>
      <c r="H221" s="16" t="s">
        <v>5153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 t="str">
        <f>IFERROR(__xludf.DUMMYFUNCTION("""COMPUTED_VALUE"""),"Ralph Lauren Corp  Cl A")</f>
        <v>Ralph Lauren Corp  Cl A</v>
      </c>
      <c r="B222" s="12" t="str">
        <f>IFERROR(__xludf.DUMMYFUNCTION("""COMPUTED_VALUE"""),"RL-US")</f>
        <v>RL-US</v>
      </c>
      <c r="C222" s="12"/>
      <c r="D222" s="13">
        <f>IFERROR(__xludf.DUMMYFUNCTION("""COMPUTED_VALUE"""),45408.0)</f>
        <v>45408</v>
      </c>
      <c r="E222" s="13">
        <f>IFERROR(__xludf.DUMMYFUNCTION("""COMPUTED_VALUE"""),45869.0)</f>
        <v>45869</v>
      </c>
      <c r="F222" s="13">
        <f>IFERROR(__xludf.DUMMYFUNCTION("""COMPUTED_VALUE"""),45869.0)</f>
        <v>45869</v>
      </c>
      <c r="G222" s="16" t="s">
        <v>5153</v>
      </c>
      <c r="H222" s="16" t="s">
        <v>5153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 t="str">
        <f>IFERROR(__xludf.DUMMYFUNCTION("""COMPUTED_VALUE"""),"Eagle Materials Inc  Com")</f>
        <v>Eagle Materials Inc  Com</v>
      </c>
      <c r="B223" s="12" t="str">
        <f>IFERROR(__xludf.DUMMYFUNCTION("""COMPUTED_VALUE"""),"EXP-US")</f>
        <v>EXP-US</v>
      </c>
      <c r="C223" s="12"/>
      <c r="D223" s="13">
        <f>IFERROR(__xludf.DUMMYFUNCTION("""COMPUTED_VALUE"""),45408.0)</f>
        <v>45408</v>
      </c>
      <c r="E223" s="13">
        <f>IFERROR(__xludf.DUMMYFUNCTION("""COMPUTED_VALUE"""),45873.0)</f>
        <v>45873</v>
      </c>
      <c r="F223" s="13">
        <f>IFERROR(__xludf.DUMMYFUNCTION("""COMPUTED_VALUE"""),45873.0)</f>
        <v>45873</v>
      </c>
      <c r="G223" s="16" t="s">
        <v>5153</v>
      </c>
      <c r="H223" s="16" t="s">
        <v>5153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 t="str">
        <f>IFERROR(__xludf.DUMMYFUNCTION("""COMPUTED_VALUE"""),"Enersys  Com")</f>
        <v>Enersys  Com</v>
      </c>
      <c r="B224" s="12" t="str">
        <f>IFERROR(__xludf.DUMMYFUNCTION("""COMPUTED_VALUE"""),"ENS-US")</f>
        <v>ENS-US</v>
      </c>
      <c r="C224" s="12"/>
      <c r="D224" s="13">
        <f>IFERROR(__xludf.DUMMYFUNCTION("""COMPUTED_VALUE"""),45408.0)</f>
        <v>45408</v>
      </c>
      <c r="E224" s="13">
        <f>IFERROR(__xludf.DUMMYFUNCTION("""COMPUTED_VALUE"""),45869.0)</f>
        <v>45869</v>
      </c>
      <c r="F224" s="13">
        <f>IFERROR(__xludf.DUMMYFUNCTION("""COMPUTED_VALUE"""),45869.0)</f>
        <v>45869</v>
      </c>
      <c r="G224" s="16" t="s">
        <v>5153</v>
      </c>
      <c r="H224" s="16" t="s">
        <v>5153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 t="str">
        <f>IFERROR(__xludf.DUMMYFUNCTION("""COMPUTED_VALUE"""),"Corvel Corp  Com")</f>
        <v>Corvel Corp  Com</v>
      </c>
      <c r="B225" s="12" t="str">
        <f>IFERROR(__xludf.DUMMYFUNCTION("""COMPUTED_VALUE"""),"CRVL-US")</f>
        <v>CRVL-US</v>
      </c>
      <c r="C225" s="12"/>
      <c r="D225" s="13">
        <f>IFERROR(__xludf.DUMMYFUNCTION("""COMPUTED_VALUE"""),45408.0)</f>
        <v>45408</v>
      </c>
      <c r="E225" s="13">
        <f>IFERROR(__xludf.DUMMYFUNCTION("""COMPUTED_VALUE"""),45876.0)</f>
        <v>45876</v>
      </c>
      <c r="F225" s="13">
        <f>IFERROR(__xludf.DUMMYFUNCTION("""COMPUTED_VALUE"""),45876.0)</f>
        <v>45876</v>
      </c>
      <c r="G225" s="16" t="s">
        <v>5153</v>
      </c>
      <c r="H225" s="16" t="s">
        <v>5153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 t="str">
        <f>IFERROR(__xludf.DUMMYFUNCTION("""COMPUTED_VALUE"""),"Biolife Solutions Inc  Com")</f>
        <v>Biolife Solutions Inc  Com</v>
      </c>
      <c r="B226" s="12" t="str">
        <f>IFERROR(__xludf.DUMMYFUNCTION("""COMPUTED_VALUE"""),"BLFS-US")</f>
        <v>BLFS-US</v>
      </c>
      <c r="C226" s="12"/>
      <c r="D226" s="13">
        <f>IFERROR(__xludf.DUMMYFUNCTION("""COMPUTED_VALUE"""),45408.0)</f>
        <v>45408</v>
      </c>
      <c r="E226" s="13">
        <f>IFERROR(__xludf.DUMMYFUNCTION("""COMPUTED_VALUE"""),45889.0)</f>
        <v>45889</v>
      </c>
      <c r="F226" s="13">
        <f>IFERROR(__xludf.DUMMYFUNCTION("""COMPUTED_VALUE"""),45889.0)</f>
        <v>45889</v>
      </c>
      <c r="G226" s="16" t="s">
        <v>5153</v>
      </c>
      <c r="H226" s="16" t="s">
        <v>5153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 t="str">
        <f>IFERROR(__xludf.DUMMYFUNCTION("""COMPUTED_VALUE"""),"Nve Corp  Com")</f>
        <v>Nve Corp  Com</v>
      </c>
      <c r="B227" s="12" t="str">
        <f>IFERROR(__xludf.DUMMYFUNCTION("""COMPUTED_VALUE"""),"NVEC-US")</f>
        <v>NVEC-US</v>
      </c>
      <c r="C227" s="12"/>
      <c r="D227" s="13">
        <f>IFERROR(__xludf.DUMMYFUNCTION("""COMPUTED_VALUE"""),45408.0)</f>
        <v>45408</v>
      </c>
      <c r="E227" s="13">
        <f>IFERROR(__xludf.DUMMYFUNCTION("""COMPUTED_VALUE"""),45876.0)</f>
        <v>45876</v>
      </c>
      <c r="F227" s="13">
        <f>IFERROR(__xludf.DUMMYFUNCTION("""COMPUTED_VALUE"""),45876.0)</f>
        <v>45876</v>
      </c>
      <c r="G227" s="16" t="s">
        <v>5153</v>
      </c>
      <c r="H227" s="16" t="s">
        <v>5153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 t="str">
        <f>IFERROR(__xludf.DUMMYFUNCTION("""COMPUTED_VALUE"""),"Mckesson Corp  Com")</f>
        <v>Mckesson Corp  Com</v>
      </c>
      <c r="B228" s="12" t="str">
        <f>IFERROR(__xludf.DUMMYFUNCTION("""COMPUTED_VALUE"""),"MCK-US")</f>
        <v>MCK-US</v>
      </c>
      <c r="C228" s="12"/>
      <c r="D228" s="13">
        <f>IFERROR(__xludf.DUMMYFUNCTION("""COMPUTED_VALUE"""),45408.0)</f>
        <v>45408</v>
      </c>
      <c r="E228" s="13">
        <f>IFERROR(__xludf.DUMMYFUNCTION("""COMPUTED_VALUE"""),45868.0)</f>
        <v>45868</v>
      </c>
      <c r="F228" s="13">
        <f>IFERROR(__xludf.DUMMYFUNCTION("""COMPUTED_VALUE"""),45868.0)</f>
        <v>45868</v>
      </c>
      <c r="G228" s="16" t="s">
        <v>5153</v>
      </c>
      <c r="H228" s="16" t="s">
        <v>5153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 t="str">
        <f>IFERROR(__xludf.DUMMYFUNCTION("""COMPUTED_VALUE"""),"Hawkins Inc  Com")</f>
        <v>Hawkins Inc  Com</v>
      </c>
      <c r="B229" s="12" t="str">
        <f>IFERROR(__xludf.DUMMYFUNCTION("""COMPUTED_VALUE"""),"HWKN-US")</f>
        <v>HWKN-US</v>
      </c>
      <c r="C229" s="12"/>
      <c r="D229" s="13">
        <f>IFERROR(__xludf.DUMMYFUNCTION("""COMPUTED_VALUE"""),45408.0)</f>
        <v>45408</v>
      </c>
      <c r="E229" s="13">
        <f>IFERROR(__xludf.DUMMYFUNCTION("""COMPUTED_VALUE"""),45868.0)</f>
        <v>45868</v>
      </c>
      <c r="F229" s="13">
        <f>IFERROR(__xludf.DUMMYFUNCTION("""COMPUTED_VALUE"""),45868.0)</f>
        <v>45868</v>
      </c>
      <c r="G229" s="16" t="s">
        <v>5152</v>
      </c>
      <c r="H229" s="16" t="s">
        <v>5152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 t="str">
        <f>IFERROR(__xludf.DUMMYFUNCTION("""COMPUTED_VALUE"""),"Thermon Group Holdings Inc  Com")</f>
        <v>Thermon Group Holdings Inc  Com</v>
      </c>
      <c r="B230" s="12" t="str">
        <f>IFERROR(__xludf.DUMMYFUNCTION("""COMPUTED_VALUE"""),"THR-US")</f>
        <v>THR-US</v>
      </c>
      <c r="C230" s="12"/>
      <c r="D230" s="13">
        <f>IFERROR(__xludf.DUMMYFUNCTION("""COMPUTED_VALUE"""),45408.0)</f>
        <v>45408</v>
      </c>
      <c r="E230" s="13">
        <f>IFERROR(__xludf.DUMMYFUNCTION("""COMPUTED_VALUE"""),45866.0)</f>
        <v>45866</v>
      </c>
      <c r="F230" s="13">
        <f>IFERROR(__xludf.DUMMYFUNCTION("""COMPUTED_VALUE"""),45866.0)</f>
        <v>45866</v>
      </c>
      <c r="G230" s="16" t="s">
        <v>5150</v>
      </c>
      <c r="H230" s="16" t="s">
        <v>5150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 t="str">
        <f>IFERROR(__xludf.DUMMYFUNCTION("""COMPUTED_VALUE"""),"Globalfoundries Inc  Com")</f>
        <v>Globalfoundries Inc  Com</v>
      </c>
      <c r="B231" s="12" t="str">
        <f>IFERROR(__xludf.DUMMYFUNCTION("""COMPUTED_VALUE"""),"GFS-US")</f>
        <v>GFS-US</v>
      </c>
      <c r="C231" s="12"/>
      <c r="D231" s="13">
        <f>IFERROR(__xludf.DUMMYFUNCTION("""COMPUTED_VALUE"""),45408.0)</f>
        <v>45408</v>
      </c>
      <c r="E231" s="13">
        <f>IFERROR(__xludf.DUMMYFUNCTION("""COMPUTED_VALUE"""),45867.0)</f>
        <v>45867</v>
      </c>
      <c r="F231" s="13">
        <f>IFERROR(__xludf.DUMMYFUNCTION("""COMPUTED_VALUE"""),45867.0)</f>
        <v>45867</v>
      </c>
      <c r="G231" s="16" t="s">
        <v>5152</v>
      </c>
      <c r="H231" s="16" t="s">
        <v>5152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 t="str">
        <f>IFERROR(__xludf.DUMMYFUNCTION("""COMPUTED_VALUE"""),"Cavco Industries Inc  Com")</f>
        <v>Cavco Industries Inc  Com</v>
      </c>
      <c r="B232" s="12" t="str">
        <f>IFERROR(__xludf.DUMMYFUNCTION("""COMPUTED_VALUE"""),"CVCO-US")</f>
        <v>CVCO-US</v>
      </c>
      <c r="C232" s="12"/>
      <c r="D232" s="13">
        <f>IFERROR(__xludf.DUMMYFUNCTION("""COMPUTED_VALUE"""),45408.0)</f>
        <v>45408</v>
      </c>
      <c r="E232" s="13">
        <f>IFERROR(__xludf.DUMMYFUNCTION("""COMPUTED_VALUE"""),45867.0)</f>
        <v>45867</v>
      </c>
      <c r="F232" s="13">
        <f>IFERROR(__xludf.DUMMYFUNCTION("""COMPUTED_VALUE"""),45867.0)</f>
        <v>45867</v>
      </c>
      <c r="G232" s="16" t="s">
        <v>5153</v>
      </c>
      <c r="H232" s="16" t="s">
        <v>5153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 t="str">
        <f>IFERROR(__xludf.DUMMYFUNCTION("""COMPUTED_VALUE"""),"Dxc Technology Co  Com")</f>
        <v>Dxc Technology Co  Com</v>
      </c>
      <c r="B233" s="12" t="str">
        <f>IFERROR(__xludf.DUMMYFUNCTION("""COMPUTED_VALUE"""),"DXC-US")</f>
        <v>DXC-US</v>
      </c>
      <c r="C233" s="12"/>
      <c r="D233" s="13">
        <f>IFERROR(__xludf.DUMMYFUNCTION("""COMPUTED_VALUE"""),45408.0)</f>
        <v>45408</v>
      </c>
      <c r="E233" s="13">
        <f>IFERROR(__xludf.DUMMYFUNCTION("""COMPUTED_VALUE"""),45860.0)</f>
        <v>45860</v>
      </c>
      <c r="F233" s="13">
        <f>IFERROR(__xludf.DUMMYFUNCTION("""COMPUTED_VALUE"""),45860.0)</f>
        <v>45860</v>
      </c>
      <c r="G233" s="16" t="s">
        <v>5153</v>
      </c>
      <c r="H233" s="16" t="s">
        <v>5153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 t="str">
        <f>IFERROR(__xludf.DUMMYFUNCTION("""COMPUTED_VALUE"""),"Cirrus Logic Inc  Com")</f>
        <v>Cirrus Logic Inc  Com</v>
      </c>
      <c r="B234" s="12" t="str">
        <f>IFERROR(__xludf.DUMMYFUNCTION("""COMPUTED_VALUE"""),"CRUS-US")</f>
        <v>CRUS-US</v>
      </c>
      <c r="C234" s="12"/>
      <c r="D234" s="13">
        <f>IFERROR(__xludf.DUMMYFUNCTION("""COMPUTED_VALUE"""),45044.0)</f>
        <v>45044</v>
      </c>
      <c r="E234" s="13">
        <f>IFERROR(__xludf.DUMMYFUNCTION("""COMPUTED_VALUE"""),45867.0)</f>
        <v>45867</v>
      </c>
      <c r="F234" s="13">
        <f>IFERROR(__xludf.DUMMYFUNCTION("""COMPUTED_VALUE"""),45867.0)</f>
        <v>45867</v>
      </c>
      <c r="G234" s="16" t="s">
        <v>5153</v>
      </c>
      <c r="H234" s="16" t="s">
        <v>5153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 t="str">
        <f>IFERROR(__xludf.DUMMYFUNCTION("""COMPUTED_VALUE"""),"Kyndryl Holdings Inc  Com")</f>
        <v>Kyndryl Holdings Inc  Com</v>
      </c>
      <c r="B235" s="12" t="str">
        <f>IFERROR(__xludf.DUMMYFUNCTION("""COMPUTED_VALUE"""),"KD-US")</f>
        <v>KD-US</v>
      </c>
      <c r="C235" s="12"/>
      <c r="D235" s="13">
        <f>IFERROR(__xludf.DUMMYFUNCTION("""COMPUTED_VALUE"""),45411.0)</f>
        <v>45411</v>
      </c>
      <c r="E235" s="13">
        <f>IFERROR(__xludf.DUMMYFUNCTION("""COMPUTED_VALUE"""),45869.0)</f>
        <v>45869</v>
      </c>
      <c r="F235" s="13">
        <f>IFERROR(__xludf.DUMMYFUNCTION("""COMPUTED_VALUE"""),45869.0)</f>
        <v>45869</v>
      </c>
      <c r="G235" s="16" t="s">
        <v>5153</v>
      </c>
      <c r="H235" s="16" t="s">
        <v>5153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 t="str">
        <f>IFERROR(__xludf.DUMMYFUNCTION("""COMPUTED_VALUE"""),"Jazz Pharmaceuticals Plc  Ord")</f>
        <v>Jazz Pharmaceuticals Plc  Ord</v>
      </c>
      <c r="B236" s="12" t="str">
        <f>IFERROR(__xludf.DUMMYFUNCTION("""COMPUTED_VALUE"""),"JAZZ-US")</f>
        <v>JAZZ-US</v>
      </c>
      <c r="C236" s="12"/>
      <c r="D236" s="13">
        <f>IFERROR(__xludf.DUMMYFUNCTION("""COMPUTED_VALUE"""),45411.0)</f>
        <v>45411</v>
      </c>
      <c r="E236" s="13">
        <f>IFERROR(__xludf.DUMMYFUNCTION("""COMPUTED_VALUE"""),45862.0)</f>
        <v>45862</v>
      </c>
      <c r="F236" s="13">
        <f>IFERROR(__xludf.DUMMYFUNCTION("""COMPUTED_VALUE"""),45862.0)</f>
        <v>45862</v>
      </c>
      <c r="G236" s="16" t="s">
        <v>5153</v>
      </c>
      <c r="H236" s="16" t="s">
        <v>5153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 t="str">
        <f>IFERROR(__xludf.DUMMYFUNCTION("""COMPUTED_VALUE"""),"Brown Forman Corp  Cl B Nvtg")</f>
        <v>Brown Forman Corp  Cl B Nvtg</v>
      </c>
      <c r="B237" s="12" t="str">
        <f>IFERROR(__xludf.DUMMYFUNCTION("""COMPUTED_VALUE"""),"BF.B-US")</f>
        <v>BF.B-US</v>
      </c>
      <c r="C237" s="12"/>
      <c r="D237" s="13">
        <f>IFERROR(__xludf.DUMMYFUNCTION("""COMPUTED_VALUE"""),45411.0)</f>
        <v>45411</v>
      </c>
      <c r="E237" s="13">
        <f>IFERROR(__xludf.DUMMYFUNCTION("""COMPUTED_VALUE"""),45862.0)</f>
        <v>45862</v>
      </c>
      <c r="F237" s="13">
        <f>IFERROR(__xludf.DUMMYFUNCTION("""COMPUTED_VALUE"""),45862.0)</f>
        <v>45862</v>
      </c>
      <c r="G237" s="16" t="s">
        <v>5151</v>
      </c>
      <c r="H237" s="16" t="s">
        <v>5151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 t="str">
        <f>IFERROR(__xludf.DUMMYFUNCTION("""COMPUTED_VALUE"""),"Haemonetics Corp  Com")</f>
        <v>Haemonetics Corp  Com</v>
      </c>
      <c r="B238" s="12" t="str">
        <f>IFERROR(__xludf.DUMMYFUNCTION("""COMPUTED_VALUE"""),"HAE-US")</f>
        <v>HAE-US</v>
      </c>
      <c r="C238" s="12"/>
      <c r="D238" s="13">
        <f>IFERROR(__xludf.DUMMYFUNCTION("""COMPUTED_VALUE"""),45411.0)</f>
        <v>45411</v>
      </c>
      <c r="E238" s="13">
        <f>IFERROR(__xludf.DUMMYFUNCTION("""COMPUTED_VALUE"""),45862.0)</f>
        <v>45862</v>
      </c>
      <c r="F238" s="13">
        <f>IFERROR(__xludf.DUMMYFUNCTION("""COMPUTED_VALUE"""),45862.0)</f>
        <v>45862</v>
      </c>
      <c r="G238" s="16" t="s">
        <v>5153</v>
      </c>
      <c r="H238" s="16" t="s">
        <v>5153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 t="str">
        <f>IFERROR(__xludf.DUMMYFUNCTION("""COMPUTED_VALUE"""),"Brown Forman Corp  Cl A Com")</f>
        <v>Brown Forman Corp  Cl A Com</v>
      </c>
      <c r="B239" s="12" t="str">
        <f>IFERROR(__xludf.DUMMYFUNCTION("""COMPUTED_VALUE"""),"BF.A-US")</f>
        <v>BF.A-US</v>
      </c>
      <c r="C239" s="12"/>
      <c r="D239" s="13">
        <f>IFERROR(__xludf.DUMMYFUNCTION("""COMPUTED_VALUE"""),45411.0)</f>
        <v>45411</v>
      </c>
      <c r="E239" s="13">
        <f>IFERROR(__xludf.DUMMYFUNCTION("""COMPUTED_VALUE"""),45862.0)</f>
        <v>45862</v>
      </c>
      <c r="F239" s="13">
        <f>IFERROR(__xludf.DUMMYFUNCTION("""COMPUTED_VALUE"""),45862.0)</f>
        <v>45862</v>
      </c>
      <c r="G239" s="16" t="s">
        <v>5151</v>
      </c>
      <c r="H239" s="16" t="s">
        <v>5151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 t="str">
        <f>IFERROR(__xludf.DUMMYFUNCTION("""COMPUTED_VALUE"""),"Hilltop Holdings Inc  Com")</f>
        <v>Hilltop Holdings Inc  Com</v>
      </c>
      <c r="B240" s="12" t="str">
        <f>IFERROR(__xludf.DUMMYFUNCTION("""COMPUTED_VALUE"""),"HTH-US")</f>
        <v>HTH-US</v>
      </c>
      <c r="C240" s="12"/>
      <c r="D240" s="13">
        <f>IFERROR(__xludf.DUMMYFUNCTION("""COMPUTED_VALUE"""),45411.0)</f>
        <v>45411</v>
      </c>
      <c r="E240" s="13">
        <f>IFERROR(__xludf.DUMMYFUNCTION("""COMPUTED_VALUE"""),45862.0)</f>
        <v>45862</v>
      </c>
      <c r="F240" s="13">
        <f>IFERROR(__xludf.DUMMYFUNCTION("""COMPUTED_VALUE"""),45862.0)</f>
        <v>45862</v>
      </c>
      <c r="G240" s="16" t="s">
        <v>5150</v>
      </c>
      <c r="H240" s="16" t="s">
        <v>5150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 t="str">
        <f>IFERROR(__xludf.DUMMYFUNCTION("""COMPUTED_VALUE"""),"Ready Capital Corp  Com")</f>
        <v>Ready Capital Corp  Com</v>
      </c>
      <c r="B241" s="12" t="str">
        <f>IFERROR(__xludf.DUMMYFUNCTION("""COMPUTED_VALUE"""),"RC-US")</f>
        <v>RC-US</v>
      </c>
      <c r="C241" s="12"/>
      <c r="D241" s="13">
        <f>IFERROR(__xludf.DUMMYFUNCTION("""COMPUTED_VALUE"""),45411.0)</f>
        <v>45411</v>
      </c>
      <c r="E241" s="13">
        <f>IFERROR(__xludf.DUMMYFUNCTION("""COMPUTED_VALUE"""),45833.0)</f>
        <v>45833</v>
      </c>
      <c r="F241" s="13">
        <f>IFERROR(__xludf.DUMMYFUNCTION("""COMPUTED_VALUE"""),45833.0)</f>
        <v>45833</v>
      </c>
      <c r="G241" s="16" t="s">
        <v>5150</v>
      </c>
      <c r="H241" s="16" t="s">
        <v>5150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 t="str">
        <f>IFERROR(__xludf.DUMMYFUNCTION("""COMPUTED_VALUE"""),"Greenlight Capital Re Ltd  Ord A")</f>
        <v>Greenlight Capital Re Ltd  Ord A</v>
      </c>
      <c r="B242" s="12" t="str">
        <f>IFERROR(__xludf.DUMMYFUNCTION("""COMPUTED_VALUE"""),"GLRE-US")</f>
        <v>GLRE-US</v>
      </c>
      <c r="C242" s="12"/>
      <c r="D242" s="13">
        <f>IFERROR(__xludf.DUMMYFUNCTION("""COMPUTED_VALUE"""),45411.0)</f>
        <v>45411</v>
      </c>
      <c r="E242" s="13">
        <f>IFERROR(__xludf.DUMMYFUNCTION("""COMPUTED_VALUE"""),45867.0)</f>
        <v>45867</v>
      </c>
      <c r="F242" s="13">
        <f>IFERROR(__xludf.DUMMYFUNCTION("""COMPUTED_VALUE"""),45867.0)</f>
        <v>45867</v>
      </c>
      <c r="G242" s="16" t="s">
        <v>5150</v>
      </c>
      <c r="H242" s="16" t="s">
        <v>5150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 t="str">
        <f>IFERROR(__xludf.DUMMYFUNCTION("""COMPUTED_VALUE"""),"Enhabit Inc  Com")</f>
        <v>Enhabit Inc  Com</v>
      </c>
      <c r="B243" s="12" t="str">
        <f>IFERROR(__xludf.DUMMYFUNCTION("""COMPUTED_VALUE"""),"EHAB-US")</f>
        <v>EHAB-US</v>
      </c>
      <c r="C243" s="12"/>
      <c r="D243" s="13">
        <f>IFERROR(__xludf.DUMMYFUNCTION("""COMPUTED_VALUE"""),45411.0)</f>
        <v>45411</v>
      </c>
      <c r="E243" s="13">
        <f>IFERROR(__xludf.DUMMYFUNCTION("""COMPUTED_VALUE"""),45834.0)</f>
        <v>45834</v>
      </c>
      <c r="F243" s="13">
        <f>IFERROR(__xludf.DUMMYFUNCTION("""COMPUTED_VALUE"""),45834.0)</f>
        <v>45834</v>
      </c>
      <c r="G243" s="16" t="s">
        <v>5150</v>
      </c>
      <c r="H243" s="16" t="s">
        <v>5150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 t="str">
        <f>IFERROR(__xludf.DUMMYFUNCTION("""COMPUTED_VALUE"""),"Booz Allen Hamilton Hldg Corp  Cl A")</f>
        <v>Booz Allen Hamilton Hldg Corp  Cl A</v>
      </c>
      <c r="B244" s="12" t="str">
        <f>IFERROR(__xludf.DUMMYFUNCTION("""COMPUTED_VALUE"""),"BAH-US")</f>
        <v>BAH-US</v>
      </c>
      <c r="C244" s="12"/>
      <c r="D244" s="13">
        <f>IFERROR(__xludf.DUMMYFUNCTION("""COMPUTED_VALUE"""),45411.0)</f>
        <v>45411</v>
      </c>
      <c r="E244" s="13">
        <f>IFERROR(__xludf.DUMMYFUNCTION("""COMPUTED_VALUE"""),45861.0)</f>
        <v>45861</v>
      </c>
      <c r="F244" s="13">
        <f>IFERROR(__xludf.DUMMYFUNCTION("""COMPUTED_VALUE"""),45861.0)</f>
        <v>45861</v>
      </c>
      <c r="G244" s="16" t="s">
        <v>5150</v>
      </c>
      <c r="H244" s="16" t="s">
        <v>5150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 t="str">
        <f>IFERROR(__xludf.DUMMYFUNCTION("""COMPUTED_VALUE"""),"Vf Corp  Com")</f>
        <v>Vf Corp  Com</v>
      </c>
      <c r="B245" s="12" t="str">
        <f>IFERROR(__xludf.DUMMYFUNCTION("""COMPUTED_VALUE"""),"VFC-US")</f>
        <v>VFC-US</v>
      </c>
      <c r="C245" s="12"/>
      <c r="D245" s="13">
        <f>IFERROR(__xludf.DUMMYFUNCTION("""COMPUTED_VALUE"""),45411.0)</f>
        <v>45411</v>
      </c>
      <c r="E245" s="13">
        <f>IFERROR(__xludf.DUMMYFUNCTION("""COMPUTED_VALUE"""),45860.0)</f>
        <v>45860</v>
      </c>
      <c r="F245" s="13">
        <f>IFERROR(__xludf.DUMMYFUNCTION("""COMPUTED_VALUE"""),45860.0)</f>
        <v>45860</v>
      </c>
      <c r="G245" s="16" t="s">
        <v>5151</v>
      </c>
      <c r="H245" s="16" t="s">
        <v>5151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 t="str">
        <f>IFERROR(__xludf.DUMMYFUNCTION("""COMPUTED_VALUE"""),"Spok Holdings Inc  Com")</f>
        <v>Spok Holdings Inc  Com</v>
      </c>
      <c r="B246" s="12" t="str">
        <f>IFERROR(__xludf.DUMMYFUNCTION("""COMPUTED_VALUE"""),"SPOK-US")</f>
        <v>SPOK-US</v>
      </c>
      <c r="C246" s="12"/>
      <c r="D246" s="13">
        <f>IFERROR(__xludf.DUMMYFUNCTION("""COMPUTED_VALUE"""),45411.0)</f>
        <v>45411</v>
      </c>
      <c r="E246" s="13">
        <f>IFERROR(__xludf.DUMMYFUNCTION("""COMPUTED_VALUE"""),45860.0)</f>
        <v>45860</v>
      </c>
      <c r="F246" s="13">
        <f>IFERROR(__xludf.DUMMYFUNCTION("""COMPUTED_VALUE"""),45860.0)</f>
        <v>45860</v>
      </c>
      <c r="G246" s="16" t="s">
        <v>5150</v>
      </c>
      <c r="H246" s="16" t="s">
        <v>5150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 t="str">
        <f>IFERROR(__xludf.DUMMYFUNCTION("""COMPUTED_VALUE"""),"Columbus Mckinnon Corp  Com")</f>
        <v>Columbus Mckinnon Corp  Com</v>
      </c>
      <c r="B247" s="12" t="str">
        <f>IFERROR(__xludf.DUMMYFUNCTION("""COMPUTED_VALUE"""),"CMCO-US")</f>
        <v>CMCO-US</v>
      </c>
      <c r="C247" s="12"/>
      <c r="D247" s="13">
        <f>IFERROR(__xludf.DUMMYFUNCTION("""COMPUTED_VALUE"""),45412.0)</f>
        <v>45412</v>
      </c>
      <c r="E247" s="13">
        <f>IFERROR(__xludf.DUMMYFUNCTION("""COMPUTED_VALUE"""),45884.0)</f>
        <v>45884</v>
      </c>
      <c r="F247" s="13">
        <f>IFERROR(__xludf.DUMMYFUNCTION("""COMPUTED_VALUE"""),45884.0)</f>
        <v>45884</v>
      </c>
      <c r="G247" s="16" t="s">
        <v>5153</v>
      </c>
      <c r="H247" s="16" t="s">
        <v>5153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 t="str">
        <f>IFERROR(__xludf.DUMMYFUNCTION("""COMPUTED_VALUE"""),"Petco Health &amp; Wellness Co Inc  Cl A")</f>
        <v>Petco Health &amp; Wellness Co Inc  Cl A</v>
      </c>
      <c r="B248" s="12" t="str">
        <f>IFERROR(__xludf.DUMMYFUNCTION("""COMPUTED_VALUE"""),"WOOF-US")</f>
        <v>WOOF-US</v>
      </c>
      <c r="C248" s="12"/>
      <c r="D248" s="13">
        <f>IFERROR(__xludf.DUMMYFUNCTION("""COMPUTED_VALUE"""),45412.0)</f>
        <v>45412</v>
      </c>
      <c r="E248" s="13">
        <f>IFERROR(__xludf.DUMMYFUNCTION("""COMPUTED_VALUE"""),45862.0)</f>
        <v>45862</v>
      </c>
      <c r="F248" s="13">
        <f>IFERROR(__xludf.DUMMYFUNCTION("""COMPUTED_VALUE"""),45862.0)</f>
        <v>45862</v>
      </c>
      <c r="G248" s="16" t="s">
        <v>5150</v>
      </c>
      <c r="H248" s="16" t="s">
        <v>5150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 t="str">
        <f>IFERROR(__xludf.DUMMYFUNCTION("""COMPUTED_VALUE"""),"Sharkninja Inc  Com")</f>
        <v>Sharkninja Inc  Com</v>
      </c>
      <c r="B249" s="12" t="str">
        <f>IFERROR(__xludf.DUMMYFUNCTION("""COMPUTED_VALUE"""),"SN-US")</f>
        <v>SN-US</v>
      </c>
      <c r="C249" s="12"/>
      <c r="D249" s="13">
        <f>IFERROR(__xludf.DUMMYFUNCTION("""COMPUTED_VALUE"""),45412.0)</f>
        <v>45412</v>
      </c>
      <c r="E249" s="13">
        <f>IFERROR(__xludf.DUMMYFUNCTION("""COMPUTED_VALUE"""),45828.0)</f>
        <v>45828</v>
      </c>
      <c r="F249" s="13">
        <f>IFERROR(__xludf.DUMMYFUNCTION("""COMPUTED_VALUE"""),45828.0)</f>
        <v>45828</v>
      </c>
      <c r="G249" s="16" t="s">
        <v>5152</v>
      </c>
      <c r="H249" s="16" t="s">
        <v>5152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 t="str">
        <f>IFERROR(__xludf.DUMMYFUNCTION("""COMPUTED_VALUE"""),"Grindr Inc  Com")</f>
        <v>Grindr Inc  Com</v>
      </c>
      <c r="B250" s="12" t="str">
        <f>IFERROR(__xludf.DUMMYFUNCTION("""COMPUTED_VALUE"""),"GRND-US")</f>
        <v>GRND-US</v>
      </c>
      <c r="C250" s="12"/>
      <c r="D250" s="13">
        <f>IFERROR(__xludf.DUMMYFUNCTION("""COMPUTED_VALUE"""),45412.0)</f>
        <v>45412</v>
      </c>
      <c r="E250" s="13">
        <f>IFERROR(__xludf.DUMMYFUNCTION("""COMPUTED_VALUE"""),45868.0)</f>
        <v>45868</v>
      </c>
      <c r="F250" s="13">
        <f>IFERROR(__xludf.DUMMYFUNCTION("""COMPUTED_VALUE"""),45868.0)</f>
        <v>45868</v>
      </c>
      <c r="G250" s="16" t="s">
        <v>5152</v>
      </c>
      <c r="H250" s="16" t="s">
        <v>5152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 t="str">
        <f>IFERROR(__xludf.DUMMYFUNCTION("""COMPUTED_VALUE"""),"Advanced Drainage Systems Inc  Com")</f>
        <v>Advanced Drainage Systems Inc  Com</v>
      </c>
      <c r="B251" s="12" t="str">
        <f>IFERROR(__xludf.DUMMYFUNCTION("""COMPUTED_VALUE"""),"WMS-US")</f>
        <v>WMS-US</v>
      </c>
      <c r="C251" s="12"/>
      <c r="D251" s="13">
        <f>IFERROR(__xludf.DUMMYFUNCTION("""COMPUTED_VALUE"""),45412.0)</f>
        <v>45412</v>
      </c>
      <c r="E251" s="13">
        <f>IFERROR(__xludf.DUMMYFUNCTION("""COMPUTED_VALUE"""),45855.0)</f>
        <v>45855</v>
      </c>
      <c r="F251" s="13">
        <f>IFERROR(__xludf.DUMMYFUNCTION("""COMPUTED_VALUE"""),45855.0)</f>
        <v>45855</v>
      </c>
      <c r="G251" s="16" t="s">
        <v>5150</v>
      </c>
      <c r="H251" s="16" t="s">
        <v>5150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 t="str">
        <f>IFERROR(__xludf.DUMMYFUNCTION("""COMPUTED_VALUE"""),"Cra International Inc  Com")</f>
        <v>Cra International Inc  Com</v>
      </c>
      <c r="B252" s="12" t="str">
        <f>IFERROR(__xludf.DUMMYFUNCTION("""COMPUTED_VALUE"""),"CRAI-US")</f>
        <v>CRAI-US</v>
      </c>
      <c r="C252" s="12"/>
      <c r="D252" s="13">
        <f>IFERROR(__xludf.DUMMYFUNCTION("""COMPUTED_VALUE"""),45412.0)</f>
        <v>45412</v>
      </c>
      <c r="E252" s="13">
        <f>IFERROR(__xludf.DUMMYFUNCTION("""COMPUTED_VALUE"""),45855.0)</f>
        <v>45855</v>
      </c>
      <c r="F252" s="13">
        <f>IFERROR(__xludf.DUMMYFUNCTION("""COMPUTED_VALUE"""),45855.0)</f>
        <v>45855</v>
      </c>
      <c r="G252" s="16" t="s">
        <v>5150</v>
      </c>
      <c r="H252" s="16" t="s">
        <v>5150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 t="str">
        <f>IFERROR(__xludf.DUMMYFUNCTION("""COMPUTED_VALUE"""),"Ennis Inc  Com")</f>
        <v>Ennis Inc  Com</v>
      </c>
      <c r="B253" s="12" t="str">
        <f>IFERROR(__xludf.DUMMYFUNCTION("""COMPUTED_VALUE"""),"EBF-US")</f>
        <v>EBF-US</v>
      </c>
      <c r="C253" s="12"/>
      <c r="D253" s="13">
        <f>IFERROR(__xludf.DUMMYFUNCTION("""COMPUTED_VALUE"""),45412.0)</f>
        <v>45412</v>
      </c>
      <c r="E253" s="13">
        <f>IFERROR(__xludf.DUMMYFUNCTION("""COMPUTED_VALUE"""),45855.0)</f>
        <v>45855</v>
      </c>
      <c r="F253" s="13">
        <f>IFERROR(__xludf.DUMMYFUNCTION("""COMPUTED_VALUE"""),45855.0)</f>
        <v>45855</v>
      </c>
      <c r="G253" s="16" t="s">
        <v>5150</v>
      </c>
      <c r="H253" s="16" t="s">
        <v>5150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 t="str">
        <f>IFERROR(__xludf.DUMMYFUNCTION("""COMPUTED_VALUE"""),"Park Aerospace Corp  Com")</f>
        <v>Park Aerospace Corp  Com</v>
      </c>
      <c r="B254" s="12" t="str">
        <f>IFERROR(__xludf.DUMMYFUNCTION("""COMPUTED_VALUE"""),"PKE-US")</f>
        <v>PKE-US</v>
      </c>
      <c r="C254" s="12"/>
      <c r="D254" s="13">
        <f>IFERROR(__xludf.DUMMYFUNCTION("""COMPUTED_VALUE"""),45412.0)</f>
        <v>45412</v>
      </c>
      <c r="E254" s="13">
        <f>IFERROR(__xludf.DUMMYFUNCTION("""COMPUTED_VALUE"""),45860.0)</f>
        <v>45860</v>
      </c>
      <c r="F254" s="13">
        <f>IFERROR(__xludf.DUMMYFUNCTION("""COMPUTED_VALUE"""),45860.0)</f>
        <v>45860</v>
      </c>
      <c r="G254" s="16" t="s">
        <v>5150</v>
      </c>
      <c r="H254" s="16" t="s">
        <v>5150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 t="str">
        <f>IFERROR(__xludf.DUMMYFUNCTION("""COMPUTED_VALUE"""),"Constellation Brands Inc  Cl A")</f>
        <v>Constellation Brands Inc  Cl A</v>
      </c>
      <c r="B255" s="12" t="str">
        <f>IFERROR(__xludf.DUMMYFUNCTION("""COMPUTED_VALUE"""),"STZ-US")</f>
        <v>STZ-US</v>
      </c>
      <c r="C255" s="12"/>
      <c r="D255" s="13">
        <f>IFERROR(__xludf.DUMMYFUNCTION("""COMPUTED_VALUE"""),45412.0)</f>
        <v>45412</v>
      </c>
      <c r="E255" s="13">
        <f>IFERROR(__xludf.DUMMYFUNCTION("""COMPUTED_VALUE"""),45853.0)</f>
        <v>45853</v>
      </c>
      <c r="F255" s="13">
        <f>IFERROR(__xludf.DUMMYFUNCTION("""COMPUTED_VALUE"""),45853.0)</f>
        <v>45853</v>
      </c>
      <c r="G255" s="16" t="s">
        <v>5150</v>
      </c>
      <c r="H255" s="16" t="s">
        <v>5150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 t="str">
        <f>IFERROR(__xludf.DUMMYFUNCTION("""COMPUTED_VALUE"""),"F&amp;G Annuities &amp; Life Inc  Com")</f>
        <v>F&amp;G Annuities &amp; Life Inc  Com</v>
      </c>
      <c r="B256" s="12" t="str">
        <f>IFERROR(__xludf.DUMMYFUNCTION("""COMPUTED_VALUE"""),"FG-US")</f>
        <v>FG-US</v>
      </c>
      <c r="C256" s="12"/>
      <c r="D256" s="13">
        <f>IFERROR(__xludf.DUMMYFUNCTION("""COMPUTED_VALUE"""),45412.0)</f>
        <v>45412</v>
      </c>
      <c r="E256" s="13">
        <f>IFERROR(__xludf.DUMMYFUNCTION("""COMPUTED_VALUE"""),45833.0)</f>
        <v>45833</v>
      </c>
      <c r="F256" s="13">
        <f>IFERROR(__xludf.DUMMYFUNCTION("""COMPUTED_VALUE"""),45833.0)</f>
        <v>45833</v>
      </c>
      <c r="G256" s="16" t="s">
        <v>5153</v>
      </c>
      <c r="H256" s="16" t="s">
        <v>5153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 t="str">
        <f>IFERROR(__xludf.DUMMYFUNCTION("""COMPUTED_VALUE"""),"Autodesk Inc  Com")</f>
        <v>Autodesk Inc  Com</v>
      </c>
      <c r="B257" s="12" t="str">
        <f>IFERROR(__xludf.DUMMYFUNCTION("""COMPUTED_VALUE"""),"ADSK-US")</f>
        <v>ADSK-US</v>
      </c>
      <c r="C257" s="12"/>
      <c r="D257" s="13">
        <f>IFERROR(__xludf.DUMMYFUNCTION("""COMPUTED_VALUE"""),45412.0)</f>
        <v>45412</v>
      </c>
      <c r="E257" s="13">
        <f>IFERROR(__xludf.DUMMYFUNCTION("""COMPUTED_VALUE"""),45826.0)</f>
        <v>45826</v>
      </c>
      <c r="F257" s="13">
        <f>IFERROR(__xludf.DUMMYFUNCTION("""COMPUTED_VALUE"""),45826.0)</f>
        <v>45826</v>
      </c>
      <c r="G257" s="16" t="s">
        <v>5150</v>
      </c>
      <c r="H257" s="16" t="s">
        <v>5150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 t="str">
        <f>IFERROR(__xludf.DUMMYFUNCTION("""COMPUTED_VALUE"""),"Alcoa Corp  Com")</f>
        <v>Alcoa Corp  Com</v>
      </c>
      <c r="B258" s="12" t="str">
        <f>IFERROR(__xludf.DUMMYFUNCTION("""COMPUTED_VALUE"""),"AA-US")</f>
        <v>AA-US</v>
      </c>
      <c r="C258" s="12"/>
      <c r="D258" s="13">
        <f>IFERROR(__xludf.DUMMYFUNCTION("""COMPUTED_VALUE"""),45412.0)</f>
        <v>45412</v>
      </c>
      <c r="E258" s="13">
        <f>IFERROR(__xludf.DUMMYFUNCTION("""COMPUTED_VALUE"""),45785.0)</f>
        <v>45785</v>
      </c>
      <c r="F258" s="13">
        <f>IFERROR(__xludf.DUMMYFUNCTION("""COMPUTED_VALUE"""),45785.0)</f>
        <v>45785</v>
      </c>
      <c r="G258" s="16" t="s">
        <v>5150</v>
      </c>
      <c r="H258" s="16" t="s">
        <v>5150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 t="str">
        <f>IFERROR(__xludf.DUMMYFUNCTION("""COMPUTED_VALUE"""),"Uranium Energy Corp  Com")</f>
        <v>Uranium Energy Corp  Com</v>
      </c>
      <c r="B259" s="12" t="str">
        <f>IFERROR(__xludf.DUMMYFUNCTION("""COMPUTED_VALUE"""),"UEC-US")</f>
        <v>UEC-US</v>
      </c>
      <c r="C259" s="12"/>
      <c r="D259" s="13">
        <f>IFERROR(__xludf.DUMMYFUNCTION("""COMPUTED_VALUE"""),45412.0)</f>
        <v>45412</v>
      </c>
      <c r="E259" s="13">
        <f>IFERROR(__xludf.DUMMYFUNCTION("""COMPUTED_VALUE"""),45855.0)</f>
        <v>45855</v>
      </c>
      <c r="F259" s="13">
        <f>IFERROR(__xludf.DUMMYFUNCTION("""COMPUTED_VALUE"""),45855.0)</f>
        <v>45855</v>
      </c>
      <c r="G259" s="16" t="s">
        <v>5150</v>
      </c>
      <c r="H259" s="16" t="s">
        <v>5150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 t="str">
        <f>IFERROR(__xludf.DUMMYFUNCTION("""COMPUTED_VALUE"""),"Blink Charging Co  Com")</f>
        <v>Blink Charging Co  Com</v>
      </c>
      <c r="B260" s="12" t="str">
        <f>IFERROR(__xludf.DUMMYFUNCTION("""COMPUTED_VALUE"""),"BLNK-US")</f>
        <v>BLNK-US</v>
      </c>
      <c r="C260" s="12"/>
      <c r="D260" s="13">
        <f>IFERROR(__xludf.DUMMYFUNCTION("""COMPUTED_VALUE"""),45412.0)</f>
        <v>45412</v>
      </c>
      <c r="E260" s="13">
        <f>IFERROR(__xludf.DUMMYFUNCTION("""COMPUTED_VALUE"""),45834.0)</f>
        <v>45834</v>
      </c>
      <c r="F260" s="13">
        <f>IFERROR(__xludf.DUMMYFUNCTION("""COMPUTED_VALUE"""),45834.0)</f>
        <v>45834</v>
      </c>
      <c r="G260" s="16" t="s">
        <v>5150</v>
      </c>
      <c r="H260" s="16" t="s">
        <v>5150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 t="str">
        <f>IFERROR(__xludf.DUMMYFUNCTION("""COMPUTED_VALUE"""),"Burke Herbert Financial Service  Com")</f>
        <v>Burke Herbert Financial Service  Com</v>
      </c>
      <c r="B261" s="12" t="str">
        <f>IFERROR(__xludf.DUMMYFUNCTION("""COMPUTED_VALUE"""),"BHRB-US")</f>
        <v>BHRB-US</v>
      </c>
      <c r="C261" s="12"/>
      <c r="D261" s="13">
        <f>IFERROR(__xludf.DUMMYFUNCTION("""COMPUTED_VALUE"""),45412.0)</f>
        <v>45412</v>
      </c>
      <c r="E261" s="13">
        <f>IFERROR(__xludf.DUMMYFUNCTION("""COMPUTED_VALUE"""),45799.0)</f>
        <v>45799</v>
      </c>
      <c r="F261" s="13">
        <f>IFERROR(__xludf.DUMMYFUNCTION("""COMPUTED_VALUE"""),45799.0)</f>
        <v>45799</v>
      </c>
      <c r="G261" s="16" t="s">
        <v>5150</v>
      </c>
      <c r="H261" s="16" t="s">
        <v>5150</v>
      </c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 t="str">
        <f>IFERROR(__xludf.DUMMYFUNCTION("""COMPUTED_VALUE"""),"Planet Labs Pbc  Cl A")</f>
        <v>Planet Labs Pbc  Cl A</v>
      </c>
      <c r="B262" s="12" t="str">
        <f>IFERROR(__xludf.DUMMYFUNCTION("""COMPUTED_VALUE"""),"PL-US")</f>
        <v>PL-US</v>
      </c>
      <c r="C262" s="12"/>
      <c r="D262" s="13">
        <f>IFERROR(__xludf.DUMMYFUNCTION("""COMPUTED_VALUE"""),45412.0)</f>
        <v>45412</v>
      </c>
      <c r="E262" s="13">
        <f>IFERROR(__xludf.DUMMYFUNCTION("""COMPUTED_VALUE"""),45848.0)</f>
        <v>45848</v>
      </c>
      <c r="F262" s="13">
        <f>IFERROR(__xludf.DUMMYFUNCTION("""COMPUTED_VALUE"""),45848.0)</f>
        <v>45848</v>
      </c>
      <c r="G262" s="16" t="s">
        <v>5150</v>
      </c>
      <c r="H262" s="16" t="s">
        <v>5152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 t="str">
        <f>IFERROR(__xludf.DUMMYFUNCTION("""COMPUTED_VALUE"""),"Verint Systems Inc  Com")</f>
        <v>Verint Systems Inc  Com</v>
      </c>
      <c r="B263" s="12" t="str">
        <f>IFERROR(__xludf.DUMMYFUNCTION("""COMPUTED_VALUE"""),"VRNT-US")</f>
        <v>VRNT-US</v>
      </c>
      <c r="C263" s="12"/>
      <c r="D263" s="13">
        <f>IFERROR(__xludf.DUMMYFUNCTION("""COMPUTED_VALUE"""),45412.0)</f>
        <v>45412</v>
      </c>
      <c r="E263" s="13">
        <f>IFERROR(__xludf.DUMMYFUNCTION("""COMPUTED_VALUE"""),45827.0)</f>
        <v>45827</v>
      </c>
      <c r="F263" s="13">
        <f>IFERROR(__xludf.DUMMYFUNCTION("""COMPUTED_VALUE"""),45827.0)</f>
        <v>45827</v>
      </c>
      <c r="G263" s="16" t="s">
        <v>5150</v>
      </c>
      <c r="H263" s="16" t="s">
        <v>5150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 t="str">
        <f>IFERROR(__xludf.DUMMYFUNCTION("""COMPUTED_VALUE"""),"Steelcase Inc  Cl A")</f>
        <v>Steelcase Inc  Cl A</v>
      </c>
      <c r="B264" s="12" t="str">
        <f>IFERROR(__xludf.DUMMYFUNCTION("""COMPUTED_VALUE"""),"SCS-US")</f>
        <v>SCS-US</v>
      </c>
      <c r="C264" s="12"/>
      <c r="D264" s="13">
        <f>IFERROR(__xludf.DUMMYFUNCTION("""COMPUTED_VALUE"""),45412.0)</f>
        <v>45412</v>
      </c>
      <c r="E264" s="13">
        <f>IFERROR(__xludf.DUMMYFUNCTION("""COMPUTED_VALUE"""),45847.0)</f>
        <v>45847</v>
      </c>
      <c r="F264" s="13">
        <f>IFERROR(__xludf.DUMMYFUNCTION("""COMPUTED_VALUE"""),45847.0)</f>
        <v>45847</v>
      </c>
      <c r="G264" s="16" t="s">
        <v>5150</v>
      </c>
      <c r="H264" s="16" t="s">
        <v>5150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 t="str">
        <f>IFERROR(__xludf.DUMMYFUNCTION("""COMPUTED_VALUE"""),"Azz Inc  Com")</f>
        <v>Azz Inc  Com</v>
      </c>
      <c r="B265" s="12" t="str">
        <f>IFERROR(__xludf.DUMMYFUNCTION("""COMPUTED_VALUE"""),"AZZ-US")</f>
        <v>AZZ-US</v>
      </c>
      <c r="C265" s="12"/>
      <c r="D265" s="13">
        <f>IFERROR(__xludf.DUMMYFUNCTION("""COMPUTED_VALUE"""),45412.0)</f>
        <v>45412</v>
      </c>
      <c r="E265" s="13">
        <f>IFERROR(__xludf.DUMMYFUNCTION("""COMPUTED_VALUE"""),45846.0)</f>
        <v>45846</v>
      </c>
      <c r="F265" s="13">
        <f>IFERROR(__xludf.DUMMYFUNCTION("""COMPUTED_VALUE"""),45846.0)</f>
        <v>45846</v>
      </c>
      <c r="G265" s="16" t="s">
        <v>5150</v>
      </c>
      <c r="H265" s="16" t="s">
        <v>5150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 t="str">
        <f>IFERROR(__xludf.DUMMYFUNCTION("""COMPUTED_VALUE"""),"Chargepoint Holdings Inc  Cl A")</f>
        <v>Chargepoint Holdings Inc  Cl A</v>
      </c>
      <c r="B266" s="12" t="str">
        <f>IFERROR(__xludf.DUMMYFUNCTION("""COMPUTED_VALUE"""),"CHPT-US")</f>
        <v>CHPT-US</v>
      </c>
      <c r="C266" s="12"/>
      <c r="D266" s="13">
        <f>IFERROR(__xludf.DUMMYFUNCTION("""COMPUTED_VALUE"""),45412.0)</f>
        <v>45412</v>
      </c>
      <c r="E266" s="13">
        <f>IFERROR(__xludf.DUMMYFUNCTION("""COMPUTED_VALUE"""),45846.0)</f>
        <v>45846</v>
      </c>
      <c r="F266" s="13">
        <f>IFERROR(__xludf.DUMMYFUNCTION("""COMPUTED_VALUE"""),45846.0)</f>
        <v>45846</v>
      </c>
      <c r="G266" s="16" t="s">
        <v>5150</v>
      </c>
      <c r="H266" s="16" t="s">
        <v>5150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 t="str">
        <f>IFERROR(__xludf.DUMMYFUNCTION("""COMPUTED_VALUE"""),"Anika Therapeutics Inc  Com")</f>
        <v>Anika Therapeutics Inc  Com</v>
      </c>
      <c r="B267" s="12" t="str">
        <f>IFERROR(__xludf.DUMMYFUNCTION("""COMPUTED_VALUE"""),"ANIK-US")</f>
        <v>ANIK-US</v>
      </c>
      <c r="C267" s="12"/>
      <c r="D267" s="13">
        <f>IFERROR(__xludf.DUMMYFUNCTION("""COMPUTED_VALUE"""),45412.0)</f>
        <v>45412</v>
      </c>
      <c r="E267" s="13">
        <f>IFERROR(__xludf.DUMMYFUNCTION("""COMPUTED_VALUE"""),45828.0)</f>
        <v>45828</v>
      </c>
      <c r="F267" s="13">
        <f>IFERROR(__xludf.DUMMYFUNCTION("""COMPUTED_VALUE"""),45828.0)</f>
        <v>45828</v>
      </c>
      <c r="G267" s="16" t="s">
        <v>5150</v>
      </c>
      <c r="H267" s="16" t="s">
        <v>5150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 t="str">
        <f>IFERROR(__xludf.DUMMYFUNCTION("""COMPUTED_VALUE"""),"Precigen Inc  Com")</f>
        <v>Precigen Inc  Com</v>
      </c>
      <c r="B268" s="12" t="str">
        <f>IFERROR(__xludf.DUMMYFUNCTION("""COMPUTED_VALUE"""),"PGEN-US")</f>
        <v>PGEN-US</v>
      </c>
      <c r="C268" s="12"/>
      <c r="D268" s="13">
        <f>IFERROR(__xludf.DUMMYFUNCTION("""COMPUTED_VALUE"""),45412.0)</f>
        <v>45412</v>
      </c>
      <c r="E268" s="13">
        <f>IFERROR(__xludf.DUMMYFUNCTION("""COMPUTED_VALUE"""),45834.0)</f>
        <v>45834</v>
      </c>
      <c r="F268" s="13">
        <f>IFERROR(__xludf.DUMMYFUNCTION("""COMPUTED_VALUE"""),45834.0)</f>
        <v>45834</v>
      </c>
      <c r="G268" s="16" t="s">
        <v>5150</v>
      </c>
      <c r="H268" s="16" t="s">
        <v>5150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 t="str">
        <f>IFERROR(__xludf.DUMMYFUNCTION("""COMPUTED_VALUE"""),"Snowflake Inc  Cl A")</f>
        <v>Snowflake Inc  Cl A</v>
      </c>
      <c r="B269" s="12" t="str">
        <f>IFERROR(__xludf.DUMMYFUNCTION("""COMPUTED_VALUE"""),"SNOW-US")</f>
        <v>SNOW-US</v>
      </c>
      <c r="C269" s="12"/>
      <c r="D269" s="13">
        <f>IFERROR(__xludf.DUMMYFUNCTION("""COMPUTED_VALUE"""),45412.0)</f>
        <v>45412</v>
      </c>
      <c r="E269" s="13">
        <f>IFERROR(__xludf.DUMMYFUNCTION("""COMPUTED_VALUE"""),45840.0)</f>
        <v>45840</v>
      </c>
      <c r="F269" s="13">
        <f>IFERROR(__xludf.DUMMYFUNCTION("""COMPUTED_VALUE"""),45840.0)</f>
        <v>45840</v>
      </c>
      <c r="G269" s="16" t="s">
        <v>5150</v>
      </c>
      <c r="H269" s="16" t="s">
        <v>5150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 t="str">
        <f>IFERROR(__xludf.DUMMYFUNCTION("""COMPUTED_VALUE"""),"Box Inc  Cl A")</f>
        <v>Box Inc  Cl A</v>
      </c>
      <c r="B270" s="12" t="str">
        <f>IFERROR(__xludf.DUMMYFUNCTION("""COMPUTED_VALUE"""),"BOX-US")</f>
        <v>BOX-US</v>
      </c>
      <c r="C270" s="12"/>
      <c r="D270" s="13">
        <f>IFERROR(__xludf.DUMMYFUNCTION("""COMPUTED_VALUE"""),45412.0)</f>
        <v>45412</v>
      </c>
      <c r="E270" s="13">
        <f>IFERROR(__xludf.DUMMYFUNCTION("""COMPUTED_VALUE"""),45835.0)</f>
        <v>45835</v>
      </c>
      <c r="F270" s="13">
        <f>IFERROR(__xludf.DUMMYFUNCTION("""COMPUTED_VALUE"""),45835.0)</f>
        <v>45835</v>
      </c>
      <c r="G270" s="16" t="s">
        <v>5150</v>
      </c>
      <c r="H270" s="16" t="s">
        <v>5150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 t="str">
        <f>IFERROR(__xludf.DUMMYFUNCTION("""COMPUTED_VALUE"""),"Alight Inc  Cl A")</f>
        <v>Alight Inc  Cl A</v>
      </c>
      <c r="B271" s="12" t="str">
        <f>IFERROR(__xludf.DUMMYFUNCTION("""COMPUTED_VALUE"""),"ALIT-US")</f>
        <v>ALIT-US</v>
      </c>
      <c r="C271" s="12"/>
      <c r="D271" s="13">
        <f>IFERROR(__xludf.DUMMYFUNCTION("""COMPUTED_VALUE"""),45412.0)</f>
        <v>45412</v>
      </c>
      <c r="E271" s="13">
        <f>IFERROR(__xludf.DUMMYFUNCTION("""COMPUTED_VALUE"""),45812.0)</f>
        <v>45812</v>
      </c>
      <c r="F271" s="13">
        <f>IFERROR(__xludf.DUMMYFUNCTION("""COMPUTED_VALUE"""),45812.0)</f>
        <v>45812</v>
      </c>
      <c r="G271" s="16" t="s">
        <v>5150</v>
      </c>
      <c r="H271" s="16" t="s">
        <v>5150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 t="str">
        <f>IFERROR(__xludf.DUMMYFUNCTION("""COMPUTED_VALUE"""),"Signet Jewelers Ltd  Com")</f>
        <v>Signet Jewelers Ltd  Com</v>
      </c>
      <c r="B272" s="12" t="str">
        <f>IFERROR(__xludf.DUMMYFUNCTION("""COMPUTED_VALUE"""),"SIG-US")</f>
        <v>SIG-US</v>
      </c>
      <c r="C272" s="12"/>
      <c r="D272" s="13">
        <f>IFERROR(__xludf.DUMMYFUNCTION("""COMPUTED_VALUE"""),45412.0)</f>
        <v>45412</v>
      </c>
      <c r="E272" s="13">
        <f>IFERROR(__xludf.DUMMYFUNCTION("""COMPUTED_VALUE"""),45839.0)</f>
        <v>45839</v>
      </c>
      <c r="F272" s="13">
        <f>IFERROR(__xludf.DUMMYFUNCTION("""COMPUTED_VALUE"""),45839.0)</f>
        <v>45839</v>
      </c>
      <c r="G272" s="16" t="s">
        <v>5150</v>
      </c>
      <c r="H272" s="16" t="s">
        <v>5150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 t="str">
        <f>IFERROR(__xludf.DUMMYFUNCTION("""COMPUTED_VALUE"""),"Apartment Invt &amp; Mgmt  Cl A")</f>
        <v>Apartment Invt &amp; Mgmt  Cl A</v>
      </c>
      <c r="B273" s="12" t="str">
        <f>IFERROR(__xludf.DUMMYFUNCTION("""COMPUTED_VALUE"""),"AIV-US")</f>
        <v>AIV-US</v>
      </c>
      <c r="C273" s="12"/>
      <c r="D273" s="13">
        <f>IFERROR(__xludf.DUMMYFUNCTION("""COMPUTED_VALUE"""),45412.0)</f>
        <v>45412</v>
      </c>
      <c r="E273" s="13">
        <f>IFERROR(__xludf.DUMMYFUNCTION("""COMPUTED_VALUE"""),45818.0)</f>
        <v>45818</v>
      </c>
      <c r="F273" s="13">
        <f>IFERROR(__xludf.DUMMYFUNCTION("""COMPUTED_VALUE"""),45818.0)</f>
        <v>45818</v>
      </c>
      <c r="G273" s="16" t="s">
        <v>5150</v>
      </c>
      <c r="H273" s="16" t="s">
        <v>5150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 t="str">
        <f>IFERROR(__xludf.DUMMYFUNCTION("""COMPUTED_VALUE"""),"E2Open Parent Holdings Inc  Cl A")</f>
        <v>E2Open Parent Holdings Inc  Cl A</v>
      </c>
      <c r="B274" s="12" t="str">
        <f>IFERROR(__xludf.DUMMYFUNCTION("""COMPUTED_VALUE"""),"ETWO-US")</f>
        <v>ETWO-US</v>
      </c>
      <c r="C274" s="12"/>
      <c r="D274" s="13">
        <f>IFERROR(__xludf.DUMMYFUNCTION("""COMPUTED_VALUE"""),45412.0)</f>
        <v>45412</v>
      </c>
      <c r="E274" s="13">
        <f>IFERROR(__xludf.DUMMYFUNCTION("""COMPUTED_VALUE"""),45866.0)</f>
        <v>45866</v>
      </c>
      <c r="F274" s="13">
        <f>IFERROR(__xludf.DUMMYFUNCTION("""COMPUTED_VALUE"""),45866.0)</f>
        <v>45866</v>
      </c>
      <c r="G274" s="16" t="s">
        <v>5150</v>
      </c>
      <c r="H274" s="16" t="s">
        <v>5150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 t="str">
        <f>IFERROR(__xludf.DUMMYFUNCTION("""COMPUTED_VALUE"""),"Ocugen Inc  Com")</f>
        <v>Ocugen Inc  Com</v>
      </c>
      <c r="B275" s="12" t="str">
        <f>IFERROR(__xludf.DUMMYFUNCTION("""COMPUTED_VALUE"""),"OCGN-US")</f>
        <v>OCGN-US</v>
      </c>
      <c r="C275" s="12"/>
      <c r="D275" s="13">
        <f>IFERROR(__xludf.DUMMYFUNCTION("""COMPUTED_VALUE"""),45412.0)</f>
        <v>45412</v>
      </c>
      <c r="E275" s="13">
        <f>IFERROR(__xludf.DUMMYFUNCTION("""COMPUTED_VALUE"""),45813.0)</f>
        <v>45813</v>
      </c>
      <c r="F275" s="13">
        <f>IFERROR(__xludf.DUMMYFUNCTION("""COMPUTED_VALUE"""),45813.0)</f>
        <v>45813</v>
      </c>
      <c r="G275" s="16" t="s">
        <v>5150</v>
      </c>
      <c r="H275" s="16" t="s">
        <v>5150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 t="str">
        <f>IFERROR(__xludf.DUMMYFUNCTION("""COMPUTED_VALUE"""),"Salesforce Inc  Com")</f>
        <v>Salesforce Inc  Com</v>
      </c>
      <c r="B276" s="12" t="str">
        <f>IFERROR(__xludf.DUMMYFUNCTION("""COMPUTED_VALUE"""),"CRM-US")</f>
        <v>CRM-US</v>
      </c>
      <c r="C276" s="12"/>
      <c r="D276" s="13">
        <f>IFERROR(__xludf.DUMMYFUNCTION("""COMPUTED_VALUE"""),45413.0)</f>
        <v>45413</v>
      </c>
      <c r="E276" s="13">
        <f>IFERROR(__xludf.DUMMYFUNCTION("""COMPUTED_VALUE"""),45813.0)</f>
        <v>45813</v>
      </c>
      <c r="F276" s="13">
        <f>IFERROR(__xludf.DUMMYFUNCTION("""COMPUTED_VALUE"""),45813.0)</f>
        <v>45813</v>
      </c>
      <c r="G276" s="16" t="s">
        <v>5150</v>
      </c>
      <c r="H276" s="16" t="s">
        <v>5150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 t="str">
        <f>IFERROR(__xludf.DUMMYFUNCTION("""COMPUTED_VALUE"""),"Kroger Co  Com")</f>
        <v>Kroger Co  Com</v>
      </c>
      <c r="B277" s="12" t="str">
        <f>IFERROR(__xludf.DUMMYFUNCTION("""COMPUTED_VALUE"""),"KR-US")</f>
        <v>KR-US</v>
      </c>
      <c r="C277" s="12"/>
      <c r="D277" s="13">
        <f>IFERROR(__xludf.DUMMYFUNCTION("""COMPUTED_VALUE"""),45413.0)</f>
        <v>45413</v>
      </c>
      <c r="E277" s="13">
        <f>IFERROR(__xludf.DUMMYFUNCTION("""COMPUTED_VALUE"""),45834.0)</f>
        <v>45834</v>
      </c>
      <c r="F277" s="13">
        <f>IFERROR(__xludf.DUMMYFUNCTION("""COMPUTED_VALUE"""),45834.0)</f>
        <v>45834</v>
      </c>
      <c r="G277" s="16" t="s">
        <v>5150</v>
      </c>
      <c r="H277" s="16" t="s">
        <v>5150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 t="str">
        <f>IFERROR(__xludf.DUMMYFUNCTION("""COMPUTED_VALUE"""),"Dell Technologies Inc  Cl C")</f>
        <v>Dell Technologies Inc  Cl C</v>
      </c>
      <c r="B278" s="12" t="str">
        <f>IFERROR(__xludf.DUMMYFUNCTION("""COMPUTED_VALUE"""),"DELL-US")</f>
        <v>DELL-US</v>
      </c>
      <c r="C278" s="12"/>
      <c r="D278" s="13">
        <f>IFERROR(__xludf.DUMMYFUNCTION("""COMPUTED_VALUE"""),45413.0)</f>
        <v>45413</v>
      </c>
      <c r="E278" s="13">
        <f>IFERROR(__xludf.DUMMYFUNCTION("""COMPUTED_VALUE"""),45834.0)</f>
        <v>45834</v>
      </c>
      <c r="F278" s="13">
        <f>IFERROR(__xludf.DUMMYFUNCTION("""COMPUTED_VALUE"""),45834.0)</f>
        <v>45834</v>
      </c>
      <c r="G278" s="16" t="s">
        <v>5150</v>
      </c>
      <c r="H278" s="16" t="s">
        <v>5150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 t="str">
        <f>IFERROR(__xludf.DUMMYFUNCTION("""COMPUTED_VALUE"""),"Healthequity Inc  Com")</f>
        <v>Healthequity Inc  Com</v>
      </c>
      <c r="B279" s="12" t="str">
        <f>IFERROR(__xludf.DUMMYFUNCTION("""COMPUTED_VALUE"""),"HQY-US")</f>
        <v>HQY-US</v>
      </c>
      <c r="C279" s="12"/>
      <c r="D279" s="13">
        <f>IFERROR(__xludf.DUMMYFUNCTION("""COMPUTED_VALUE"""),45413.0)</f>
        <v>45413</v>
      </c>
      <c r="E279" s="13">
        <f>IFERROR(__xludf.DUMMYFUNCTION("""COMPUTED_VALUE"""),45834.0)</f>
        <v>45834</v>
      </c>
      <c r="F279" s="13">
        <f>IFERROR(__xludf.DUMMYFUNCTION("""COMPUTED_VALUE"""),45834.0)</f>
        <v>45834</v>
      </c>
      <c r="G279" s="16" t="s">
        <v>5150</v>
      </c>
      <c r="H279" s="16" t="s">
        <v>5150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 t="str">
        <f>IFERROR(__xludf.DUMMYFUNCTION("""COMPUTED_VALUE"""),"Rh  Com")</f>
        <v>Rh  Com</v>
      </c>
      <c r="B280" s="12" t="str">
        <f>IFERROR(__xludf.DUMMYFUNCTION("""COMPUTED_VALUE"""),"RH-US")</f>
        <v>RH-US</v>
      </c>
      <c r="C280" s="12"/>
      <c r="D280" s="13">
        <f>IFERROR(__xludf.DUMMYFUNCTION("""COMPUTED_VALUE"""),45413.0)</f>
        <v>45413</v>
      </c>
      <c r="E280" s="13">
        <f>IFERROR(__xludf.DUMMYFUNCTION("""COMPUTED_VALUE"""),45834.0)</f>
        <v>45834</v>
      </c>
      <c r="F280" s="13">
        <f>IFERROR(__xludf.DUMMYFUNCTION("""COMPUTED_VALUE"""),45834.0)</f>
        <v>45834</v>
      </c>
      <c r="G280" s="16" t="s">
        <v>5150</v>
      </c>
      <c r="H280" s="16" t="s">
        <v>5150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 t="str">
        <f>IFERROR(__xludf.DUMMYFUNCTION("""COMPUTED_VALUE"""),"Sentinelone Inc  Cl A")</f>
        <v>Sentinelone Inc  Cl A</v>
      </c>
      <c r="B281" s="12" t="str">
        <f>IFERROR(__xludf.DUMMYFUNCTION("""COMPUTED_VALUE"""),"S-US")</f>
        <v>S-US</v>
      </c>
      <c r="C281" s="12"/>
      <c r="D281" s="13">
        <f>IFERROR(__xludf.DUMMYFUNCTION("""COMPUTED_VALUE"""),45413.0)</f>
        <v>45413</v>
      </c>
      <c r="E281" s="13">
        <f>IFERROR(__xludf.DUMMYFUNCTION("""COMPUTED_VALUE"""),45833.0)</f>
        <v>45833</v>
      </c>
      <c r="F281" s="13">
        <f>IFERROR(__xludf.DUMMYFUNCTION("""COMPUTED_VALUE"""),45833.0)</f>
        <v>45833</v>
      </c>
      <c r="G281" s="16" t="s">
        <v>5150</v>
      </c>
      <c r="H281" s="16" t="s">
        <v>5150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 t="str">
        <f>IFERROR(__xludf.DUMMYFUNCTION("""COMPUTED_VALUE"""),"Mara Holdings Inc  Com")</f>
        <v>Mara Holdings Inc  Com</v>
      </c>
      <c r="B282" s="12" t="str">
        <f>IFERROR(__xludf.DUMMYFUNCTION("""COMPUTED_VALUE"""),"MARA-US")</f>
        <v>MARA-US</v>
      </c>
      <c r="C282" s="12"/>
      <c r="D282" s="13">
        <f>IFERROR(__xludf.DUMMYFUNCTION("""COMPUTED_VALUE"""),45413.0)</f>
        <v>45413</v>
      </c>
      <c r="E282" s="13">
        <f>IFERROR(__xludf.DUMMYFUNCTION("""COMPUTED_VALUE"""),45834.0)</f>
        <v>45834</v>
      </c>
      <c r="F282" s="13">
        <f>IFERROR(__xludf.DUMMYFUNCTION("""COMPUTED_VALUE"""),45834.0)</f>
        <v>45834</v>
      </c>
      <c r="G282" s="16" t="s">
        <v>5150</v>
      </c>
      <c r="H282" s="16" t="s">
        <v>5150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 t="str">
        <f>IFERROR(__xludf.DUMMYFUNCTION("""COMPUTED_VALUE"""),"Scholar Rock Holding Corp  Com")</f>
        <v>Scholar Rock Holding Corp  Com</v>
      </c>
      <c r="B283" s="12" t="str">
        <f>IFERROR(__xludf.DUMMYFUNCTION("""COMPUTED_VALUE"""),"SRRK-US")</f>
        <v>SRRK-US</v>
      </c>
      <c r="C283" s="12"/>
      <c r="D283" s="13">
        <f>IFERROR(__xludf.DUMMYFUNCTION("""COMPUTED_VALUE"""),45413.0)</f>
        <v>45413</v>
      </c>
      <c r="E283" s="13">
        <f>IFERROR(__xludf.DUMMYFUNCTION("""COMPUTED_VALUE"""),45799.0)</f>
        <v>45799</v>
      </c>
      <c r="F283" s="13">
        <f>IFERROR(__xludf.DUMMYFUNCTION("""COMPUTED_VALUE"""),45799.0)</f>
        <v>45799</v>
      </c>
      <c r="G283" s="16" t="s">
        <v>5150</v>
      </c>
      <c r="H283" s="16" t="s">
        <v>5150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 t="str">
        <f>IFERROR(__xludf.DUMMYFUNCTION("""COMPUTED_VALUE"""),"American Eagle Outfitters Inc  Com")</f>
        <v>American Eagle Outfitters Inc  Com</v>
      </c>
      <c r="B284" s="12" t="str">
        <f>IFERROR(__xludf.DUMMYFUNCTION("""COMPUTED_VALUE"""),"AEO-US")</f>
        <v>AEO-US</v>
      </c>
      <c r="C284" s="12"/>
      <c r="D284" s="13">
        <f>IFERROR(__xludf.DUMMYFUNCTION("""COMPUTED_VALUE"""),45413.0)</f>
        <v>45413</v>
      </c>
      <c r="E284" s="13">
        <f>IFERROR(__xludf.DUMMYFUNCTION("""COMPUTED_VALUE"""),45833.0)</f>
        <v>45833</v>
      </c>
      <c r="F284" s="13">
        <f>IFERROR(__xludf.DUMMYFUNCTION("""COMPUTED_VALUE"""),45833.0)</f>
        <v>45833</v>
      </c>
      <c r="G284" s="16" t="s">
        <v>5150</v>
      </c>
      <c r="H284" s="16" t="s">
        <v>5150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 t="str">
        <f>IFERROR(__xludf.DUMMYFUNCTION("""COMPUTED_VALUE"""),"Braze Inc  Cl A")</f>
        <v>Braze Inc  Cl A</v>
      </c>
      <c r="B285" s="12" t="str">
        <f>IFERROR(__xludf.DUMMYFUNCTION("""COMPUTED_VALUE"""),"BRZE-US")</f>
        <v>BRZE-US</v>
      </c>
      <c r="C285" s="12"/>
      <c r="D285" s="13">
        <f>IFERROR(__xludf.DUMMYFUNCTION("""COMPUTED_VALUE"""),45413.0)</f>
        <v>45413</v>
      </c>
      <c r="E285" s="13">
        <f>IFERROR(__xludf.DUMMYFUNCTION("""COMPUTED_VALUE"""),45834.0)</f>
        <v>45834</v>
      </c>
      <c r="F285" s="13">
        <f>IFERROR(__xludf.DUMMYFUNCTION("""COMPUTED_VALUE"""),45834.0)</f>
        <v>45834</v>
      </c>
      <c r="G285" s="16" t="s">
        <v>5150</v>
      </c>
      <c r="H285" s="16" t="s">
        <v>5150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 t="str">
        <f>IFERROR(__xludf.DUMMYFUNCTION("""COMPUTED_VALUE"""),"Plymouth Industrial Reit Inc  Com")</f>
        <v>Plymouth Industrial Reit Inc  Com</v>
      </c>
      <c r="B286" s="12" t="str">
        <f>IFERROR(__xludf.DUMMYFUNCTION("""COMPUTED_VALUE"""),"PLYM-US")</f>
        <v>PLYM-US</v>
      </c>
      <c r="C286" s="12"/>
      <c r="D286" s="13">
        <f>IFERROR(__xludf.DUMMYFUNCTION("""COMPUTED_VALUE"""),45413.0)</f>
        <v>45413</v>
      </c>
      <c r="E286" s="13">
        <f>IFERROR(__xludf.DUMMYFUNCTION("""COMPUTED_VALUE"""),45820.0)</f>
        <v>45820</v>
      </c>
      <c r="F286" s="13">
        <f>IFERROR(__xludf.DUMMYFUNCTION("""COMPUTED_VALUE"""),45820.0)</f>
        <v>45820</v>
      </c>
      <c r="G286" s="15" t="s">
        <v>5150</v>
      </c>
      <c r="H286" s="15" t="s">
        <v>5150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 t="str">
        <f>IFERROR(__xludf.DUMMYFUNCTION("""COMPUTED_VALUE"""),"Standard Biotools Inc  Com")</f>
        <v>Standard Biotools Inc  Com</v>
      </c>
      <c r="B287" s="12" t="str">
        <f>IFERROR(__xludf.DUMMYFUNCTION("""COMPUTED_VALUE"""),"LAB-US")</f>
        <v>LAB-US</v>
      </c>
      <c r="C287" s="12"/>
      <c r="D287" s="13">
        <f>IFERROR(__xludf.DUMMYFUNCTION("""COMPUTED_VALUE"""),45413.0)</f>
        <v>45413</v>
      </c>
      <c r="E287" s="13">
        <f>IFERROR(__xludf.DUMMYFUNCTION("""COMPUTED_VALUE"""),45826.0)</f>
        <v>45826</v>
      </c>
      <c r="F287" s="13">
        <f>IFERROR(__xludf.DUMMYFUNCTION("""COMPUTED_VALUE"""),45826.0)</f>
        <v>45826</v>
      </c>
      <c r="G287" s="15" t="s">
        <v>5150</v>
      </c>
      <c r="H287" s="15" t="s">
        <v>5150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 t="str">
        <f>IFERROR(__xludf.DUMMYFUNCTION("""COMPUTED_VALUE"""),"Genesco Inc  Com")</f>
        <v>Genesco Inc  Com</v>
      </c>
      <c r="B288" s="12" t="str">
        <f>IFERROR(__xludf.DUMMYFUNCTION("""COMPUTED_VALUE"""),"GCO-US")</f>
        <v>GCO-US</v>
      </c>
      <c r="C288" s="12"/>
      <c r="D288" s="13">
        <f>IFERROR(__xludf.DUMMYFUNCTION("""COMPUTED_VALUE"""),45413.0)</f>
        <v>45413</v>
      </c>
      <c r="E288" s="13">
        <f>IFERROR(__xludf.DUMMYFUNCTION("""COMPUTED_VALUE"""),45834.0)</f>
        <v>45834</v>
      </c>
      <c r="F288" s="13">
        <f>IFERROR(__xludf.DUMMYFUNCTION("""COMPUTED_VALUE"""),45834.0)</f>
        <v>45834</v>
      </c>
      <c r="G288" s="15" t="s">
        <v>5150</v>
      </c>
      <c r="H288" s="15" t="s">
        <v>5150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 t="str">
        <f>IFERROR(__xludf.DUMMYFUNCTION("""COMPUTED_VALUE"""),"Nvidia Corp  Com")</f>
        <v>Nvidia Corp  Com</v>
      </c>
      <c r="B289" s="12" t="str">
        <f>IFERROR(__xludf.DUMMYFUNCTION("""COMPUTED_VALUE"""),"NVDA-US")</f>
        <v>NVDA-US</v>
      </c>
      <c r="C289" s="12"/>
      <c r="D289" s="13">
        <f>IFERROR(__xludf.DUMMYFUNCTION("""COMPUTED_VALUE"""),45413.0)</f>
        <v>45413</v>
      </c>
      <c r="E289" s="13">
        <f>IFERROR(__xludf.DUMMYFUNCTION("""COMPUTED_VALUE"""),45833.0)</f>
        <v>45833</v>
      </c>
      <c r="F289" s="13">
        <f>IFERROR(__xludf.DUMMYFUNCTION("""COMPUTED_VALUE"""),45833.0)</f>
        <v>45833</v>
      </c>
      <c r="G289" s="15" t="s">
        <v>5150</v>
      </c>
      <c r="H289" s="15" t="s">
        <v>5150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 t="str">
        <f>IFERROR(__xludf.DUMMYFUNCTION("""COMPUTED_VALUE"""),"Robinhood Markets Inc  Cl A")</f>
        <v>Robinhood Markets Inc  Cl A</v>
      </c>
      <c r="B290" s="12" t="str">
        <f>IFERROR(__xludf.DUMMYFUNCTION("""COMPUTED_VALUE"""),"HOOD-US")</f>
        <v>HOOD-US</v>
      </c>
      <c r="C290" s="12"/>
      <c r="D290" s="13">
        <f>IFERROR(__xludf.DUMMYFUNCTION("""COMPUTED_VALUE"""),45413.0)</f>
        <v>45413</v>
      </c>
      <c r="E290" s="13">
        <f>IFERROR(__xludf.DUMMYFUNCTION("""COMPUTED_VALUE"""),45833.0)</f>
        <v>45833</v>
      </c>
      <c r="F290" s="13">
        <f>IFERROR(__xludf.DUMMYFUNCTION("""COMPUTED_VALUE"""),45833.0)</f>
        <v>45833</v>
      </c>
      <c r="G290" s="15" t="s">
        <v>5150</v>
      </c>
      <c r="H290" s="15" t="s">
        <v>5150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 t="str">
        <f>IFERROR(__xludf.DUMMYFUNCTION("""COMPUTED_VALUE"""),"United Therapeutics Corp  Com")</f>
        <v>United Therapeutics Corp  Com</v>
      </c>
      <c r="B291" s="12" t="str">
        <f>IFERROR(__xludf.DUMMYFUNCTION("""COMPUTED_VALUE"""),"UTHR-US")</f>
        <v>UTHR-US</v>
      </c>
      <c r="C291" s="12"/>
      <c r="D291" s="13">
        <f>IFERROR(__xludf.DUMMYFUNCTION("""COMPUTED_VALUE"""),45413.0)</f>
        <v>45413</v>
      </c>
      <c r="E291" s="13">
        <f>IFERROR(__xludf.DUMMYFUNCTION("""COMPUTED_VALUE"""),45834.0)</f>
        <v>45834</v>
      </c>
      <c r="F291" s="13">
        <f>IFERROR(__xludf.DUMMYFUNCTION("""COMPUTED_VALUE"""),45834.0)</f>
        <v>45834</v>
      </c>
      <c r="G291" s="15" t="s">
        <v>5150</v>
      </c>
      <c r="H291" s="15" t="s">
        <v>5150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 t="str">
        <f>IFERROR(__xludf.DUMMYFUNCTION("""COMPUTED_VALUE"""),"Core &amp; Main Inc  Cl A")</f>
        <v>Core &amp; Main Inc  Cl A</v>
      </c>
      <c r="B292" s="12" t="str">
        <f>IFERROR(__xludf.DUMMYFUNCTION("""COMPUTED_VALUE"""),"CNM-US")</f>
        <v>CNM-US</v>
      </c>
      <c r="C292" s="12"/>
      <c r="D292" s="13">
        <f>IFERROR(__xludf.DUMMYFUNCTION("""COMPUTED_VALUE"""),45413.0)</f>
        <v>45413</v>
      </c>
      <c r="E292" s="13">
        <f>IFERROR(__xludf.DUMMYFUNCTION("""COMPUTED_VALUE"""),45832.0)</f>
        <v>45832</v>
      </c>
      <c r="F292" s="13">
        <f>IFERROR(__xludf.DUMMYFUNCTION("""COMPUTED_VALUE"""),45832.0)</f>
        <v>45832</v>
      </c>
      <c r="G292" s="15" t="s">
        <v>5150</v>
      </c>
      <c r="H292" s="15" t="s">
        <v>5150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 t="str">
        <f>IFERROR(__xludf.DUMMYFUNCTION("""COMPUTED_VALUE"""),"Allegiant Travel Co  Com")</f>
        <v>Allegiant Travel Co  Com</v>
      </c>
      <c r="B293" s="12" t="str">
        <f>IFERROR(__xludf.DUMMYFUNCTION("""COMPUTED_VALUE"""),"ALGT-US")</f>
        <v>ALGT-US</v>
      </c>
      <c r="C293" s="12"/>
      <c r="D293" s="13">
        <f>IFERROR(__xludf.DUMMYFUNCTION("""COMPUTED_VALUE"""),45413.0)</f>
        <v>45413</v>
      </c>
      <c r="E293" s="13">
        <f>IFERROR(__xludf.DUMMYFUNCTION("""COMPUTED_VALUE"""),45834.0)</f>
        <v>45834</v>
      </c>
      <c r="F293" s="13">
        <f>IFERROR(__xludf.DUMMYFUNCTION("""COMPUTED_VALUE"""),45834.0)</f>
        <v>45834</v>
      </c>
      <c r="G293" s="15" t="s">
        <v>5150</v>
      </c>
      <c r="H293" s="15" t="s">
        <v>5150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 t="str">
        <f>IFERROR(__xludf.DUMMYFUNCTION("""COMPUTED_VALUE"""),"Janux Therapeutics Inc  Com")</f>
        <v>Janux Therapeutics Inc  Com</v>
      </c>
      <c r="B294" s="12" t="str">
        <f>IFERROR(__xludf.DUMMYFUNCTION("""COMPUTED_VALUE"""),"JANX-US")</f>
        <v>JANX-US</v>
      </c>
      <c r="C294" s="12"/>
      <c r="D294" s="13">
        <f>IFERROR(__xludf.DUMMYFUNCTION("""COMPUTED_VALUE"""),45413.0)</f>
        <v>45413</v>
      </c>
      <c r="E294" s="13">
        <f>IFERROR(__xludf.DUMMYFUNCTION("""COMPUTED_VALUE"""),45819.0)</f>
        <v>45819</v>
      </c>
      <c r="F294" s="13">
        <f>IFERROR(__xludf.DUMMYFUNCTION("""COMPUTED_VALUE"""),45819.0)</f>
        <v>45819</v>
      </c>
      <c r="G294" s="15" t="s">
        <v>5150</v>
      </c>
      <c r="H294" s="15" t="s">
        <v>5150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 t="str">
        <f>IFERROR(__xludf.DUMMYFUNCTION("""COMPUTED_VALUE"""),"Phreesia Inc  Com")</f>
        <v>Phreesia Inc  Com</v>
      </c>
      <c r="B295" s="12" t="str">
        <f>IFERROR(__xludf.DUMMYFUNCTION("""COMPUTED_VALUE"""),"PHR-US")</f>
        <v>PHR-US</v>
      </c>
      <c r="C295" s="12"/>
      <c r="D295" s="13">
        <f>IFERROR(__xludf.DUMMYFUNCTION("""COMPUTED_VALUE"""),45413.0)</f>
        <v>45413</v>
      </c>
      <c r="E295" s="13">
        <f>IFERROR(__xludf.DUMMYFUNCTION("""COMPUTED_VALUE"""),45833.0)</f>
        <v>45833</v>
      </c>
      <c r="F295" s="13">
        <f>IFERROR(__xludf.DUMMYFUNCTION("""COMPUTED_VALUE"""),45833.0)</f>
        <v>45833</v>
      </c>
      <c r="G295" s="15" t="s">
        <v>5150</v>
      </c>
      <c r="H295" s="15" t="s">
        <v>5150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 t="str">
        <f>IFERROR(__xludf.DUMMYFUNCTION("""COMPUTED_VALUE"""),"Cullinan Therapeutics Inc  Com")</f>
        <v>Cullinan Therapeutics Inc  Com</v>
      </c>
      <c r="B296" s="12" t="str">
        <f>IFERROR(__xludf.DUMMYFUNCTION("""COMPUTED_VALUE"""),"CGEM-US")</f>
        <v>CGEM-US</v>
      </c>
      <c r="C296" s="12"/>
      <c r="D296" s="13">
        <f>IFERROR(__xludf.DUMMYFUNCTION("""COMPUTED_VALUE"""),45413.0)</f>
        <v>45413</v>
      </c>
      <c r="E296" s="13">
        <f>IFERROR(__xludf.DUMMYFUNCTION("""COMPUTED_VALUE"""),45820.0)</f>
        <v>45820</v>
      </c>
      <c r="F296" s="13">
        <f>IFERROR(__xludf.DUMMYFUNCTION("""COMPUTED_VALUE"""),45820.0)</f>
        <v>45820</v>
      </c>
      <c r="G296" s="15" t="s">
        <v>5150</v>
      </c>
      <c r="H296" s="15" t="s">
        <v>5150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 t="str">
        <f>IFERROR(__xludf.DUMMYFUNCTION("""COMPUTED_VALUE"""),"Ramaco Resources Inc  Cl A")</f>
        <v>Ramaco Resources Inc  Cl A</v>
      </c>
      <c r="B297" s="12" t="str">
        <f>IFERROR(__xludf.DUMMYFUNCTION("""COMPUTED_VALUE"""),"METC-US")</f>
        <v>METC-US</v>
      </c>
      <c r="C297" s="12"/>
      <c r="D297" s="13">
        <f>IFERROR(__xludf.DUMMYFUNCTION("""COMPUTED_VALUE"""),45413.0)</f>
        <v>45413</v>
      </c>
      <c r="E297" s="13">
        <f>IFERROR(__xludf.DUMMYFUNCTION("""COMPUTED_VALUE"""),45834.0)</f>
        <v>45834</v>
      </c>
      <c r="F297" s="13">
        <f>IFERROR(__xludf.DUMMYFUNCTION("""COMPUTED_VALUE"""),45834.0)</f>
        <v>45834</v>
      </c>
      <c r="G297" s="15" t="s">
        <v>5150</v>
      </c>
      <c r="H297" s="15" t="s">
        <v>5150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 t="str">
        <f>IFERROR(__xludf.DUMMYFUNCTION("""COMPUTED_VALUE"""),"Ramaco Resources Inc  Cl B")</f>
        <v>Ramaco Resources Inc  Cl B</v>
      </c>
      <c r="B298" s="12" t="str">
        <f>IFERROR(__xludf.DUMMYFUNCTION("""COMPUTED_VALUE"""),"METCB-US")</f>
        <v>METCB-US</v>
      </c>
      <c r="C298" s="12"/>
      <c r="D298" s="13">
        <f>IFERROR(__xludf.DUMMYFUNCTION("""COMPUTED_VALUE"""),45413.0)</f>
        <v>45413</v>
      </c>
      <c r="E298" s="13">
        <f>IFERROR(__xludf.DUMMYFUNCTION("""COMPUTED_VALUE"""),45834.0)</f>
        <v>45834</v>
      </c>
      <c r="F298" s="13">
        <f>IFERROR(__xludf.DUMMYFUNCTION("""COMPUTED_VALUE"""),45834.0)</f>
        <v>45834</v>
      </c>
      <c r="G298" s="16" t="s">
        <v>5151</v>
      </c>
      <c r="H298" s="16" t="s">
        <v>5151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 t="str">
        <f>IFERROR(__xludf.DUMMYFUNCTION("""COMPUTED_VALUE"""),"Expedia Group Inc  Com")</f>
        <v>Expedia Group Inc  Com</v>
      </c>
      <c r="B299" s="12" t="str">
        <f>IFERROR(__xludf.DUMMYFUNCTION("""COMPUTED_VALUE"""),"EXPE-US")</f>
        <v>EXPE-US</v>
      </c>
      <c r="C299" s="12"/>
      <c r="D299" s="13">
        <f>IFERROR(__xludf.DUMMYFUNCTION("""COMPUTED_VALUE"""),45413.0)</f>
        <v>45413</v>
      </c>
      <c r="E299" s="13">
        <f>IFERROR(__xludf.DUMMYFUNCTION("""COMPUTED_VALUE"""),45811.0)</f>
        <v>45811</v>
      </c>
      <c r="F299" s="13">
        <f>IFERROR(__xludf.DUMMYFUNCTION("""COMPUTED_VALUE"""),45811.0)</f>
        <v>45811</v>
      </c>
      <c r="G299" s="15" t="s">
        <v>5150</v>
      </c>
      <c r="H299" s="15" t="s">
        <v>5150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 t="str">
        <f>IFERROR(__xludf.DUMMYFUNCTION("""COMPUTED_VALUE"""),"Mongodb Inc  Cl A")</f>
        <v>Mongodb Inc  Cl A</v>
      </c>
      <c r="B300" s="12" t="str">
        <f>IFERROR(__xludf.DUMMYFUNCTION("""COMPUTED_VALUE"""),"MDB-US")</f>
        <v>MDB-US</v>
      </c>
      <c r="C300" s="12"/>
      <c r="D300" s="13">
        <f>IFERROR(__xludf.DUMMYFUNCTION("""COMPUTED_VALUE"""),45413.0)</f>
        <v>45413</v>
      </c>
      <c r="E300" s="13">
        <f>IFERROR(__xludf.DUMMYFUNCTION("""COMPUTED_VALUE"""),45838.0)</f>
        <v>45838</v>
      </c>
      <c r="F300" s="13">
        <f>IFERROR(__xludf.DUMMYFUNCTION("""COMPUTED_VALUE"""),45838.0)</f>
        <v>45838</v>
      </c>
      <c r="G300" s="15" t="s">
        <v>5150</v>
      </c>
      <c r="H300" s="15" t="s">
        <v>5150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 t="str">
        <f>IFERROR(__xludf.DUMMYFUNCTION("""COMPUTED_VALUE"""),"Carmax Inc  Com")</f>
        <v>Carmax Inc  Com</v>
      </c>
      <c r="B301" s="12" t="str">
        <f>IFERROR(__xludf.DUMMYFUNCTION("""COMPUTED_VALUE"""),"KMX-US")</f>
        <v>KMX-US</v>
      </c>
      <c r="C301" s="12"/>
      <c r="D301" s="13">
        <f>IFERROR(__xludf.DUMMYFUNCTION("""COMPUTED_VALUE"""),45413.0)</f>
        <v>45413</v>
      </c>
      <c r="E301" s="13">
        <f>IFERROR(__xludf.DUMMYFUNCTION("""COMPUTED_VALUE"""),45832.0)</f>
        <v>45832</v>
      </c>
      <c r="F301" s="13">
        <f>IFERROR(__xludf.DUMMYFUNCTION("""COMPUTED_VALUE"""),45832.0)</f>
        <v>45832</v>
      </c>
      <c r="G301" s="15" t="s">
        <v>5150</v>
      </c>
      <c r="H301" s="15" t="s">
        <v>5150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 t="str">
        <f>IFERROR(__xludf.DUMMYFUNCTION("""COMPUTED_VALUE"""),"Madrigal Pharmaceuticals Inc  Com")</f>
        <v>Madrigal Pharmaceuticals Inc  Com</v>
      </c>
      <c r="B302" s="12" t="str">
        <f>IFERROR(__xludf.DUMMYFUNCTION("""COMPUTED_VALUE"""),"MDGL-US")</f>
        <v>MDGL-US</v>
      </c>
      <c r="C302" s="12"/>
      <c r="D302" s="13">
        <f>IFERROR(__xludf.DUMMYFUNCTION("""COMPUTED_VALUE"""),45413.0)</f>
        <v>45413</v>
      </c>
      <c r="E302" s="13">
        <f>IFERROR(__xludf.DUMMYFUNCTION("""COMPUTED_VALUE"""),45828.0)</f>
        <v>45828</v>
      </c>
      <c r="F302" s="13">
        <f>IFERROR(__xludf.DUMMYFUNCTION("""COMPUTED_VALUE"""),45828.0)</f>
        <v>45828</v>
      </c>
      <c r="G302" s="15" t="s">
        <v>5150</v>
      </c>
      <c r="H302" s="15" t="s">
        <v>5150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 t="str">
        <f>IFERROR(__xludf.DUMMYFUNCTION("""COMPUTED_VALUE"""),"Oxford Industries Inc  Com")</f>
        <v>Oxford Industries Inc  Com</v>
      </c>
      <c r="B303" s="12" t="str">
        <f>IFERROR(__xludf.DUMMYFUNCTION("""COMPUTED_VALUE"""),"OXM-US")</f>
        <v>OXM-US</v>
      </c>
      <c r="C303" s="12"/>
      <c r="D303" s="13">
        <f>IFERROR(__xludf.DUMMYFUNCTION("""COMPUTED_VALUE"""),45413.0)</f>
        <v>45413</v>
      </c>
      <c r="E303" s="13">
        <f>IFERROR(__xludf.DUMMYFUNCTION("""COMPUTED_VALUE"""),45832.0)</f>
        <v>45832</v>
      </c>
      <c r="F303" s="13">
        <f>IFERROR(__xludf.DUMMYFUNCTION("""COMPUTED_VALUE"""),45832.0)</f>
        <v>45832</v>
      </c>
      <c r="G303" s="15" t="s">
        <v>5150</v>
      </c>
      <c r="H303" s="15" t="s">
        <v>5150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 t="str">
        <f>IFERROR(__xludf.DUMMYFUNCTION("""COMPUTED_VALUE"""),"Si Bone Inc  Com")</f>
        <v>Si Bone Inc  Com</v>
      </c>
      <c r="B304" s="12" t="str">
        <f>IFERROR(__xludf.DUMMYFUNCTION("""COMPUTED_VALUE"""),"SIBN-US")</f>
        <v>SIBN-US</v>
      </c>
      <c r="C304" s="12"/>
      <c r="D304" s="13">
        <f>IFERROR(__xludf.DUMMYFUNCTION("""COMPUTED_VALUE"""),45413.0)</f>
        <v>45413</v>
      </c>
      <c r="E304" s="13">
        <f>IFERROR(__xludf.DUMMYFUNCTION("""COMPUTED_VALUE"""),45813.0)</f>
        <v>45813</v>
      </c>
      <c r="F304" s="13">
        <f>IFERROR(__xludf.DUMMYFUNCTION("""COMPUTED_VALUE"""),45813.0)</f>
        <v>45813</v>
      </c>
      <c r="G304" s="15" t="s">
        <v>5150</v>
      </c>
      <c r="H304" s="15" t="s">
        <v>5150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 t="str">
        <f>IFERROR(__xludf.DUMMYFUNCTION("""COMPUTED_VALUE"""),"Shoe Carnival Inc  Com")</f>
        <v>Shoe Carnival Inc  Com</v>
      </c>
      <c r="B305" s="12" t="str">
        <f>IFERROR(__xludf.DUMMYFUNCTION("""COMPUTED_VALUE"""),"SCVL-US")</f>
        <v>SCVL-US</v>
      </c>
      <c r="C305" s="12"/>
      <c r="D305" s="13">
        <f>IFERROR(__xludf.DUMMYFUNCTION("""COMPUTED_VALUE"""),45413.0)</f>
        <v>45413</v>
      </c>
      <c r="E305" s="13">
        <f>IFERROR(__xludf.DUMMYFUNCTION("""COMPUTED_VALUE"""),45833.0)</f>
        <v>45833</v>
      </c>
      <c r="F305" s="13">
        <f>IFERROR(__xludf.DUMMYFUNCTION("""COMPUTED_VALUE"""),45833.0)</f>
        <v>45833</v>
      </c>
      <c r="G305" s="15" t="s">
        <v>5150</v>
      </c>
      <c r="H305" s="15" t="s">
        <v>5150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 t="str">
        <f>IFERROR(__xludf.DUMMYFUNCTION("""COMPUTED_VALUE"""),"Apollo Global Management Inc  Com")</f>
        <v>Apollo Global Management Inc  Com</v>
      </c>
      <c r="B306" s="12" t="str">
        <f>IFERROR(__xludf.DUMMYFUNCTION("""COMPUTED_VALUE"""),"APO-US")</f>
        <v>APO-US</v>
      </c>
      <c r="C306" s="12"/>
      <c r="D306" s="13">
        <f>IFERROR(__xludf.DUMMYFUNCTION("""COMPUTED_VALUE"""),45413.0)</f>
        <v>45413</v>
      </c>
      <c r="E306" s="13">
        <f>IFERROR(__xludf.DUMMYFUNCTION("""COMPUTED_VALUE"""),45814.0)</f>
        <v>45814</v>
      </c>
      <c r="F306" s="13">
        <f>IFERROR(__xludf.DUMMYFUNCTION("""COMPUTED_VALUE"""),45814.0)</f>
        <v>45814</v>
      </c>
      <c r="G306" s="16" t="s">
        <v>5152</v>
      </c>
      <c r="H306" s="16" t="s">
        <v>5152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 t="str">
        <f>IFERROR(__xludf.DUMMYFUNCTION("""COMPUTED_VALUE"""),"Janus International Group Inc  Com")</f>
        <v>Janus International Group Inc  Com</v>
      </c>
      <c r="B307" s="12" t="str">
        <f>IFERROR(__xludf.DUMMYFUNCTION("""COMPUTED_VALUE"""),"JBI-US")</f>
        <v>JBI-US</v>
      </c>
      <c r="C307" s="12"/>
      <c r="D307" s="13">
        <f>IFERROR(__xludf.DUMMYFUNCTION("""COMPUTED_VALUE"""),45413.0)</f>
        <v>45413</v>
      </c>
      <c r="E307" s="13">
        <f>IFERROR(__xludf.DUMMYFUNCTION("""COMPUTED_VALUE"""),45824.0)</f>
        <v>45824</v>
      </c>
      <c r="F307" s="13">
        <f>IFERROR(__xludf.DUMMYFUNCTION("""COMPUTED_VALUE"""),45824.0)</f>
        <v>45824</v>
      </c>
      <c r="G307" s="15" t="s">
        <v>5150</v>
      </c>
      <c r="H307" s="15" t="s">
        <v>5150</v>
      </c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 t="str">
        <f>IFERROR(__xludf.DUMMYFUNCTION("""COMPUTED_VALUE"""),"New York Mortgage Trust Inc  Com")</f>
        <v>New York Mortgage Trust Inc  Com</v>
      </c>
      <c r="B308" s="12" t="str">
        <f>IFERROR(__xludf.DUMMYFUNCTION("""COMPUTED_VALUE"""),"NYMT-US")</f>
        <v>NYMT-US</v>
      </c>
      <c r="C308" s="12"/>
      <c r="D308" s="13">
        <f>IFERROR(__xludf.DUMMYFUNCTION("""COMPUTED_VALUE"""),45413.0)</f>
        <v>45413</v>
      </c>
      <c r="E308" s="13">
        <f>IFERROR(__xludf.DUMMYFUNCTION("""COMPUTED_VALUE"""),45820.0)</f>
        <v>45820</v>
      </c>
      <c r="F308" s="13">
        <f>IFERROR(__xludf.DUMMYFUNCTION("""COMPUTED_VALUE"""),45820.0)</f>
        <v>45820</v>
      </c>
      <c r="G308" s="15" t="s">
        <v>5150</v>
      </c>
      <c r="H308" s="15" t="s">
        <v>5150</v>
      </c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 t="str">
        <f>IFERROR(__xludf.DUMMYFUNCTION("""COMPUTED_VALUE"""),"Match Group Inc  Com")</f>
        <v>Match Group Inc  Com</v>
      </c>
      <c r="B309" s="12" t="str">
        <f>IFERROR(__xludf.DUMMYFUNCTION("""COMPUTED_VALUE"""),"MTCH-US")</f>
        <v>MTCH-US</v>
      </c>
      <c r="C309" s="12"/>
      <c r="D309" s="13">
        <f>IFERROR(__xludf.DUMMYFUNCTION("""COMPUTED_VALUE"""),45413.0)</f>
        <v>45413</v>
      </c>
      <c r="E309" s="13">
        <f>IFERROR(__xludf.DUMMYFUNCTION("""COMPUTED_VALUE"""),45826.0)</f>
        <v>45826</v>
      </c>
      <c r="F309" s="13">
        <f>IFERROR(__xludf.DUMMYFUNCTION("""COMPUTED_VALUE"""),45826.0)</f>
        <v>45826</v>
      </c>
      <c r="G309" s="15" t="s">
        <v>5150</v>
      </c>
      <c r="H309" s="15" t="s">
        <v>5150</v>
      </c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 t="str">
        <f>IFERROR(__xludf.DUMMYFUNCTION("""COMPUTED_VALUE"""),"Bridgebio Pharma Inc  Com")</f>
        <v>Bridgebio Pharma Inc  Com</v>
      </c>
      <c r="B310" s="12" t="str">
        <f>IFERROR(__xludf.DUMMYFUNCTION("""COMPUTED_VALUE"""),"BBIO-US")</f>
        <v>BBIO-US</v>
      </c>
      <c r="C310" s="12"/>
      <c r="D310" s="13">
        <f>IFERROR(__xludf.DUMMYFUNCTION("""COMPUTED_VALUE"""),45413.0)</f>
        <v>45413</v>
      </c>
      <c r="E310" s="13">
        <f>IFERROR(__xludf.DUMMYFUNCTION("""COMPUTED_VALUE"""),45828.0)</f>
        <v>45828</v>
      </c>
      <c r="F310" s="13">
        <f>IFERROR(__xludf.DUMMYFUNCTION("""COMPUTED_VALUE"""),45828.0)</f>
        <v>45828</v>
      </c>
      <c r="G310" s="15" t="s">
        <v>5150</v>
      </c>
      <c r="H310" s="15" t="s">
        <v>5150</v>
      </c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 t="str">
        <f>IFERROR(__xludf.DUMMYFUNCTION("""COMPUTED_VALUE"""),"Blackstone Mortgage Trust Inc  Cl A")</f>
        <v>Blackstone Mortgage Trust Inc  Cl A</v>
      </c>
      <c r="B311" s="12" t="str">
        <f>IFERROR(__xludf.DUMMYFUNCTION("""COMPUTED_VALUE"""),"BXMT-US")</f>
        <v>BXMT-US</v>
      </c>
      <c r="C311" s="12"/>
      <c r="D311" s="13">
        <f>IFERROR(__xludf.DUMMYFUNCTION("""COMPUTED_VALUE"""),45413.0)</f>
        <v>45413</v>
      </c>
      <c r="E311" s="13">
        <f>IFERROR(__xludf.DUMMYFUNCTION("""COMPUTED_VALUE"""),45835.0)</f>
        <v>45835</v>
      </c>
      <c r="F311" s="13">
        <f>IFERROR(__xludf.DUMMYFUNCTION("""COMPUTED_VALUE"""),45835.0)</f>
        <v>45835</v>
      </c>
      <c r="G311" s="15" t="s">
        <v>5150</v>
      </c>
      <c r="H311" s="15" t="s">
        <v>5150</v>
      </c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 t="str">
        <f>IFERROR(__xludf.DUMMYFUNCTION("""COMPUTED_VALUE"""),"Archer Aviation Inc  Cl A")</f>
        <v>Archer Aviation Inc  Cl A</v>
      </c>
      <c r="B312" s="12" t="str">
        <f>IFERROR(__xludf.DUMMYFUNCTION("""COMPUTED_VALUE"""),"ACHR-US")</f>
        <v>ACHR-US</v>
      </c>
      <c r="C312" s="12"/>
      <c r="D312" s="13">
        <f>IFERROR(__xludf.DUMMYFUNCTION("""COMPUTED_VALUE"""),45413.0)</f>
        <v>45413</v>
      </c>
      <c r="E312" s="13">
        <f>IFERROR(__xludf.DUMMYFUNCTION("""COMPUTED_VALUE"""),45835.0)</f>
        <v>45835</v>
      </c>
      <c r="F312" s="13">
        <f>IFERROR(__xludf.DUMMYFUNCTION("""COMPUTED_VALUE"""),45835.0)</f>
        <v>45835</v>
      </c>
      <c r="G312" s="15" t="s">
        <v>5150</v>
      </c>
      <c r="H312" s="15" t="s">
        <v>5150</v>
      </c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 t="str">
        <f>IFERROR(__xludf.DUMMYFUNCTION("""COMPUTED_VALUE"""),"Hut 8 Corp  Com")</f>
        <v>Hut 8 Corp  Com</v>
      </c>
      <c r="B313" s="12" t="str">
        <f>IFERROR(__xludf.DUMMYFUNCTION("""COMPUTED_VALUE"""),"HUT-CA")</f>
        <v>HUT-CA</v>
      </c>
      <c r="C313" s="12"/>
      <c r="D313" s="13">
        <f>IFERROR(__xludf.DUMMYFUNCTION("""COMPUTED_VALUE"""),45413.0)</f>
        <v>45413</v>
      </c>
      <c r="E313" s="13">
        <f>IFERROR(__xludf.DUMMYFUNCTION("""COMPUTED_VALUE"""),45826.0)</f>
        <v>45826</v>
      </c>
      <c r="F313" s="13">
        <f>IFERROR(__xludf.DUMMYFUNCTION("""COMPUTED_VALUE"""),45826.0)</f>
        <v>45826</v>
      </c>
      <c r="G313" s="15" t="s">
        <v>5150</v>
      </c>
      <c r="H313" s="15" t="s">
        <v>5150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 t="str">
        <f>IFERROR(__xludf.DUMMYFUNCTION("""COMPUTED_VALUE"""),"Vicor Corp  Com")</f>
        <v>Vicor Corp  Com</v>
      </c>
      <c r="B314" s="12" t="str">
        <f>IFERROR(__xludf.DUMMYFUNCTION("""COMPUTED_VALUE"""),"VICR-US")</f>
        <v>VICR-US</v>
      </c>
      <c r="C314" s="12"/>
      <c r="D314" s="13">
        <f>IFERROR(__xludf.DUMMYFUNCTION("""COMPUTED_VALUE"""),45413.0)</f>
        <v>45413</v>
      </c>
      <c r="E314" s="13">
        <f>IFERROR(__xludf.DUMMYFUNCTION("""COMPUTED_VALUE"""),45828.0)</f>
        <v>45828</v>
      </c>
      <c r="F314" s="13">
        <f>IFERROR(__xludf.DUMMYFUNCTION("""COMPUTED_VALUE"""),45828.0)</f>
        <v>45828</v>
      </c>
      <c r="G314" s="15" t="s">
        <v>5150</v>
      </c>
      <c r="H314" s="15" t="s">
        <v>5150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 t="str">
        <f>IFERROR(__xludf.DUMMYFUNCTION("""COMPUTED_VALUE"""),"Arlo Technologies Inc  Com")</f>
        <v>Arlo Technologies Inc  Com</v>
      </c>
      <c r="B315" s="12" t="str">
        <f>IFERROR(__xludf.DUMMYFUNCTION("""COMPUTED_VALUE"""),"ARLO-US")</f>
        <v>ARLO-US</v>
      </c>
      <c r="C315" s="12"/>
      <c r="D315" s="13">
        <f>IFERROR(__xludf.DUMMYFUNCTION("""COMPUTED_VALUE"""),45413.0)</f>
        <v>45413</v>
      </c>
      <c r="E315" s="13">
        <f>IFERROR(__xludf.DUMMYFUNCTION("""COMPUTED_VALUE"""),45828.0)</f>
        <v>45828</v>
      </c>
      <c r="F315" s="13">
        <f>IFERROR(__xludf.DUMMYFUNCTION("""COMPUTED_VALUE"""),45828.0)</f>
        <v>45828</v>
      </c>
      <c r="G315" s="15" t="s">
        <v>5150</v>
      </c>
      <c r="H315" s="15" t="s">
        <v>5150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 t="str">
        <f>IFERROR(__xludf.DUMMYFUNCTION("""COMPUTED_VALUE"""),"Ouster Inc  Cl A")</f>
        <v>Ouster Inc  Cl A</v>
      </c>
      <c r="B316" s="12" t="str">
        <f>IFERROR(__xludf.DUMMYFUNCTION("""COMPUTED_VALUE"""),"OUST-US")</f>
        <v>OUST-US</v>
      </c>
      <c r="C316" s="12"/>
      <c r="D316" s="13">
        <f>IFERROR(__xludf.DUMMYFUNCTION("""COMPUTED_VALUE"""),45413.0)</f>
        <v>45413</v>
      </c>
      <c r="E316" s="13">
        <f>IFERROR(__xludf.DUMMYFUNCTION("""COMPUTED_VALUE"""),45826.0)</f>
        <v>45826</v>
      </c>
      <c r="F316" s="13">
        <f>IFERROR(__xludf.DUMMYFUNCTION("""COMPUTED_VALUE"""),45826.0)</f>
        <v>45826</v>
      </c>
      <c r="G316" s="15" t="s">
        <v>5150</v>
      </c>
      <c r="H316" s="15" t="s">
        <v>5150</v>
      </c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 t="str">
        <f>IFERROR(__xludf.DUMMYFUNCTION("""COMPUTED_VALUE"""),"Miller Industries Inc Tenn  Com")</f>
        <v>Miller Industries Inc Tenn  Com</v>
      </c>
      <c r="B317" s="12" t="str">
        <f>IFERROR(__xludf.DUMMYFUNCTION("""COMPUTED_VALUE"""),"MLR-US")</f>
        <v>MLR-US</v>
      </c>
      <c r="C317" s="12"/>
      <c r="D317" s="13">
        <f>IFERROR(__xludf.DUMMYFUNCTION("""COMPUTED_VALUE"""),45413.0)</f>
        <v>45413</v>
      </c>
      <c r="E317" s="13">
        <f>IFERROR(__xludf.DUMMYFUNCTION("""COMPUTED_VALUE"""),45800.0)</f>
        <v>45800</v>
      </c>
      <c r="F317" s="13">
        <f>IFERROR(__xludf.DUMMYFUNCTION("""COMPUTED_VALUE"""),45800.0)</f>
        <v>45800</v>
      </c>
      <c r="G317" s="15" t="s">
        <v>5150</v>
      </c>
      <c r="H317" s="15" t="s">
        <v>5150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 t="str">
        <f>IFERROR(__xludf.DUMMYFUNCTION("""COMPUTED_VALUE"""),"International Money Express Inc  Com")</f>
        <v>International Money Express Inc  Com</v>
      </c>
      <c r="B318" s="12" t="str">
        <f>IFERROR(__xludf.DUMMYFUNCTION("""COMPUTED_VALUE"""),"IMXI-US")</f>
        <v>IMXI-US</v>
      </c>
      <c r="C318" s="12"/>
      <c r="D318" s="13">
        <f>IFERROR(__xludf.DUMMYFUNCTION("""COMPUTED_VALUE"""),45048.0)</f>
        <v>45048</v>
      </c>
      <c r="E318" s="13">
        <f>IFERROR(__xludf.DUMMYFUNCTION("""COMPUTED_VALUE"""),45828.0)</f>
        <v>45828</v>
      </c>
      <c r="F318" s="13">
        <f>IFERROR(__xludf.DUMMYFUNCTION("""COMPUTED_VALUE"""),45828.0)</f>
        <v>45828</v>
      </c>
      <c r="G318" s="15" t="s">
        <v>5150</v>
      </c>
      <c r="H318" s="15" t="s">
        <v>5150</v>
      </c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 t="str">
        <f>IFERROR(__xludf.DUMMYFUNCTION("""COMPUTED_VALUE"""),"On24 Inc  Com")</f>
        <v>On24 Inc  Com</v>
      </c>
      <c r="B319" s="12" t="str">
        <f>IFERROR(__xludf.DUMMYFUNCTION("""COMPUTED_VALUE"""),"ONTF-US")</f>
        <v>ONTF-US</v>
      </c>
      <c r="C319" s="12"/>
      <c r="D319" s="13">
        <f>IFERROR(__xludf.DUMMYFUNCTION("""COMPUTED_VALUE"""),45414.0)</f>
        <v>45414</v>
      </c>
      <c r="E319" s="13">
        <f>IFERROR(__xludf.DUMMYFUNCTION("""COMPUTED_VALUE"""),45828.0)</f>
        <v>45828</v>
      </c>
      <c r="F319" s="13">
        <f>IFERROR(__xludf.DUMMYFUNCTION("""COMPUTED_VALUE"""),45828.0)</f>
        <v>45828</v>
      </c>
      <c r="G319" s="15" t="s">
        <v>5150</v>
      </c>
      <c r="H319" s="15" t="s">
        <v>5150</v>
      </c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 t="str">
        <f>IFERROR(__xludf.DUMMYFUNCTION("""COMPUTED_VALUE"""),"Atea Pharmaceuticals Inc  Com")</f>
        <v>Atea Pharmaceuticals Inc  Com</v>
      </c>
      <c r="B320" s="12" t="str">
        <f>IFERROR(__xludf.DUMMYFUNCTION("""COMPUTED_VALUE"""),"AVIR-US")</f>
        <v>AVIR-US</v>
      </c>
      <c r="C320" s="12"/>
      <c r="D320" s="13">
        <f>IFERROR(__xludf.DUMMYFUNCTION("""COMPUTED_VALUE"""),45414.0)</f>
        <v>45414</v>
      </c>
      <c r="E320" s="13">
        <f>IFERROR(__xludf.DUMMYFUNCTION("""COMPUTED_VALUE"""),45828.0)</f>
        <v>45828</v>
      </c>
      <c r="F320" s="13">
        <f>IFERROR(__xludf.DUMMYFUNCTION("""COMPUTED_VALUE"""),45828.0)</f>
        <v>45828</v>
      </c>
      <c r="G320" s="15" t="s">
        <v>5150</v>
      </c>
      <c r="H320" s="15" t="s">
        <v>5150</v>
      </c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 t="str">
        <f>IFERROR(__xludf.DUMMYFUNCTION("""COMPUTED_VALUE"""),"Zentalis Pharmaceuticals Inc  Com")</f>
        <v>Zentalis Pharmaceuticals Inc  Com</v>
      </c>
      <c r="B321" s="12" t="str">
        <f>IFERROR(__xludf.DUMMYFUNCTION("""COMPUTED_VALUE"""),"ZNTL-US")</f>
        <v>ZNTL-US</v>
      </c>
      <c r="C321" s="12"/>
      <c r="D321" s="13">
        <f>IFERROR(__xludf.DUMMYFUNCTION("""COMPUTED_VALUE"""),45414.0)</f>
        <v>45414</v>
      </c>
      <c r="E321" s="13">
        <f>IFERROR(__xludf.DUMMYFUNCTION("""COMPUTED_VALUE"""),45825.0)</f>
        <v>45825</v>
      </c>
      <c r="F321" s="13">
        <f>IFERROR(__xludf.DUMMYFUNCTION("""COMPUTED_VALUE"""),45825.0)</f>
        <v>45825</v>
      </c>
      <c r="G321" s="15" t="s">
        <v>5150</v>
      </c>
      <c r="H321" s="15" t="s">
        <v>5150</v>
      </c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 t="str">
        <f>IFERROR(__xludf.DUMMYFUNCTION("""COMPUTED_VALUE"""),"Marvell Technology Inc  Com")</f>
        <v>Marvell Technology Inc  Com</v>
      </c>
      <c r="B322" s="12" t="str">
        <f>IFERROR(__xludf.DUMMYFUNCTION("""COMPUTED_VALUE"""),"MRVL-US")</f>
        <v>MRVL-US</v>
      </c>
      <c r="C322" s="12"/>
      <c r="D322" s="13">
        <f>IFERROR(__xludf.DUMMYFUNCTION("""COMPUTED_VALUE"""),45414.0)</f>
        <v>45414</v>
      </c>
      <c r="E322" s="13">
        <f>IFERROR(__xludf.DUMMYFUNCTION("""COMPUTED_VALUE"""),45821.0)</f>
        <v>45821</v>
      </c>
      <c r="F322" s="13">
        <f>IFERROR(__xludf.DUMMYFUNCTION("""COMPUTED_VALUE"""),45821.0)</f>
        <v>45821</v>
      </c>
      <c r="G322" s="15" t="s">
        <v>5150</v>
      </c>
      <c r="H322" s="15" t="s">
        <v>5150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 t="str">
        <f>IFERROR(__xludf.DUMMYFUNCTION("""COMPUTED_VALUE"""),"Doordash Inc  Cl A")</f>
        <v>Doordash Inc  Cl A</v>
      </c>
      <c r="B323" s="12" t="str">
        <f>IFERROR(__xludf.DUMMYFUNCTION("""COMPUTED_VALUE"""),"DASH-US")</f>
        <v>DASH-US</v>
      </c>
      <c r="C323" s="12"/>
      <c r="D323" s="13">
        <f>IFERROR(__xludf.DUMMYFUNCTION("""COMPUTED_VALUE"""),45414.0)</f>
        <v>45414</v>
      </c>
      <c r="E323" s="13">
        <f>IFERROR(__xludf.DUMMYFUNCTION("""COMPUTED_VALUE"""),45832.0)</f>
        <v>45832</v>
      </c>
      <c r="F323" s="13">
        <f>IFERROR(__xludf.DUMMYFUNCTION("""COMPUTED_VALUE"""),45832.0)</f>
        <v>45832</v>
      </c>
      <c r="G323" s="15" t="s">
        <v>5150</v>
      </c>
      <c r="H323" s="15" t="s">
        <v>5150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 t="str">
        <f>IFERROR(__xludf.DUMMYFUNCTION("""COMPUTED_VALUE"""),"Delta Air Lines Inc  Com")</f>
        <v>Delta Air Lines Inc  Com</v>
      </c>
      <c r="B324" s="12" t="str">
        <f>IFERROR(__xludf.DUMMYFUNCTION("""COMPUTED_VALUE"""),"DAL-US")</f>
        <v>DAL-US</v>
      </c>
      <c r="C324" s="12"/>
      <c r="D324" s="13">
        <f>IFERROR(__xludf.DUMMYFUNCTION("""COMPUTED_VALUE"""),45414.0)</f>
        <v>45414</v>
      </c>
      <c r="E324" s="13">
        <f>IFERROR(__xludf.DUMMYFUNCTION("""COMPUTED_VALUE"""),45827.0)</f>
        <v>45827</v>
      </c>
      <c r="F324" s="13">
        <f>IFERROR(__xludf.DUMMYFUNCTION("""COMPUTED_VALUE"""),45827.0)</f>
        <v>45827</v>
      </c>
      <c r="G324" s="15" t="s">
        <v>5150</v>
      </c>
      <c r="H324" s="15" t="s">
        <v>5150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 t="str">
        <f>IFERROR(__xludf.DUMMYFUNCTION("""COMPUTED_VALUE"""),"Ebay Inc  Com")</f>
        <v>Ebay Inc  Com</v>
      </c>
      <c r="B325" s="12" t="str">
        <f>IFERROR(__xludf.DUMMYFUNCTION("""COMPUTED_VALUE"""),"EBAY-US")</f>
        <v>EBAY-US</v>
      </c>
      <c r="C325" s="12"/>
      <c r="D325" s="13">
        <f>IFERROR(__xludf.DUMMYFUNCTION("""COMPUTED_VALUE"""),45414.0)</f>
        <v>45414</v>
      </c>
      <c r="E325" s="13">
        <f>IFERROR(__xludf.DUMMYFUNCTION("""COMPUTED_VALUE"""),45833.0)</f>
        <v>45833</v>
      </c>
      <c r="F325" s="13">
        <f>IFERROR(__xludf.DUMMYFUNCTION("""COMPUTED_VALUE"""),45833.0)</f>
        <v>45833</v>
      </c>
      <c r="G325" s="15" t="s">
        <v>5150</v>
      </c>
      <c r="H325" s="15" t="s">
        <v>5150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 t="str">
        <f>IFERROR(__xludf.DUMMYFUNCTION("""COMPUTED_VALUE"""),"Equity Residential  Sbi")</f>
        <v>Equity Residential  Sbi</v>
      </c>
      <c r="B326" s="12" t="str">
        <f>IFERROR(__xludf.DUMMYFUNCTION("""COMPUTED_VALUE"""),"EQR-US")</f>
        <v>EQR-US</v>
      </c>
      <c r="C326" s="12"/>
      <c r="D326" s="13">
        <f>IFERROR(__xludf.DUMMYFUNCTION("""COMPUTED_VALUE"""),45414.0)</f>
        <v>45414</v>
      </c>
      <c r="E326" s="13">
        <f>IFERROR(__xludf.DUMMYFUNCTION("""COMPUTED_VALUE"""),45834.0)</f>
        <v>45834</v>
      </c>
      <c r="F326" s="13">
        <f>IFERROR(__xludf.DUMMYFUNCTION("""COMPUTED_VALUE"""),45834.0)</f>
        <v>45834</v>
      </c>
      <c r="G326" s="15" t="s">
        <v>5150</v>
      </c>
      <c r="H326" s="15" t="s">
        <v>5150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 t="str">
        <f>IFERROR(__xludf.DUMMYFUNCTION("""COMPUTED_VALUE"""),"Biogen Inc  Com")</f>
        <v>Biogen Inc  Com</v>
      </c>
      <c r="B327" s="12" t="str">
        <f>IFERROR(__xludf.DUMMYFUNCTION("""COMPUTED_VALUE"""),"BIIB-US")</f>
        <v>BIIB-US</v>
      </c>
      <c r="C327" s="12"/>
      <c r="D327" s="13">
        <f>IFERROR(__xludf.DUMMYFUNCTION("""COMPUTED_VALUE"""),45414.0)</f>
        <v>45414</v>
      </c>
      <c r="E327" s="13">
        <f>IFERROR(__xludf.DUMMYFUNCTION("""COMPUTED_VALUE"""),45825.0)</f>
        <v>45825</v>
      </c>
      <c r="F327" s="13">
        <f>IFERROR(__xludf.DUMMYFUNCTION("""COMPUTED_VALUE"""),45825.0)</f>
        <v>45825</v>
      </c>
      <c r="G327" s="15" t="s">
        <v>5150</v>
      </c>
      <c r="H327" s="15" t="s">
        <v>5150</v>
      </c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 t="str">
        <f>IFERROR(__xludf.DUMMYFUNCTION("""COMPUTED_VALUE"""),"Dollar Tree Inc  Com")</f>
        <v>Dollar Tree Inc  Com</v>
      </c>
      <c r="B328" s="12" t="str">
        <f>IFERROR(__xludf.DUMMYFUNCTION("""COMPUTED_VALUE"""),"DLTR-US")</f>
        <v>DLTR-US</v>
      </c>
      <c r="C328" s="12"/>
      <c r="D328" s="13">
        <f>IFERROR(__xludf.DUMMYFUNCTION("""COMPUTED_VALUE"""),45414.0)</f>
        <v>45414</v>
      </c>
      <c r="E328" s="13">
        <f>IFERROR(__xludf.DUMMYFUNCTION("""COMPUTED_VALUE"""),45827.0)</f>
        <v>45827</v>
      </c>
      <c r="F328" s="13">
        <f>IFERROR(__xludf.DUMMYFUNCTION("""COMPUTED_VALUE"""),45827.0)</f>
        <v>45827</v>
      </c>
      <c r="G328" s="15" t="s">
        <v>5150</v>
      </c>
      <c r="H328" s="15" t="s">
        <v>5150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 t="str">
        <f>IFERROR(__xludf.DUMMYFUNCTION("""COMPUTED_VALUE"""),"Okta Inc  Cl A")</f>
        <v>Okta Inc  Cl A</v>
      </c>
      <c r="B329" s="12" t="str">
        <f>IFERROR(__xludf.DUMMYFUNCTION("""COMPUTED_VALUE"""),"OKTA-US")</f>
        <v>OKTA-US</v>
      </c>
      <c r="C329" s="12"/>
      <c r="D329" s="13">
        <f>IFERROR(__xludf.DUMMYFUNCTION("""COMPUTED_VALUE"""),45414.0)</f>
        <v>45414</v>
      </c>
      <c r="E329" s="13">
        <f>IFERROR(__xludf.DUMMYFUNCTION("""COMPUTED_VALUE"""),45832.0)</f>
        <v>45832</v>
      </c>
      <c r="F329" s="13">
        <f>IFERROR(__xludf.DUMMYFUNCTION("""COMPUTED_VALUE"""),45832.0)</f>
        <v>45832</v>
      </c>
      <c r="G329" s="15" t="s">
        <v>5150</v>
      </c>
      <c r="H329" s="15" t="s">
        <v>5150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 t="str">
        <f>IFERROR(__xludf.DUMMYFUNCTION("""COMPUTED_VALUE"""),"Bjs Wholesale Club Holdings Inc  Com")</f>
        <v>Bjs Wholesale Club Holdings Inc  Com</v>
      </c>
      <c r="B330" s="12" t="str">
        <f>IFERROR(__xludf.DUMMYFUNCTION("""COMPUTED_VALUE"""),"BJ-US")</f>
        <v>BJ-US</v>
      </c>
      <c r="C330" s="12"/>
      <c r="D330" s="13">
        <f>IFERROR(__xludf.DUMMYFUNCTION("""COMPUTED_VALUE"""),45414.0)</f>
        <v>45414</v>
      </c>
      <c r="E330" s="13">
        <f>IFERROR(__xludf.DUMMYFUNCTION("""COMPUTED_VALUE"""),45827.0)</f>
        <v>45827</v>
      </c>
      <c r="F330" s="13">
        <f>IFERROR(__xludf.DUMMYFUNCTION("""COMPUTED_VALUE"""),45827.0)</f>
        <v>45827</v>
      </c>
      <c r="G330" s="15" t="s">
        <v>5150</v>
      </c>
      <c r="H330" s="15" t="s">
        <v>5150</v>
      </c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 t="str">
        <f>IFERROR(__xludf.DUMMYFUNCTION("""COMPUTED_VALUE"""),"Cava Group Inc  Com")</f>
        <v>Cava Group Inc  Com</v>
      </c>
      <c r="B331" s="12" t="str">
        <f>IFERROR(__xludf.DUMMYFUNCTION("""COMPUTED_VALUE"""),"CAVA-US")</f>
        <v>CAVA-US</v>
      </c>
      <c r="C331" s="12"/>
      <c r="D331" s="13">
        <f>IFERROR(__xludf.DUMMYFUNCTION("""COMPUTED_VALUE"""),45414.0)</f>
        <v>45414</v>
      </c>
      <c r="E331" s="13">
        <f>IFERROR(__xludf.DUMMYFUNCTION("""COMPUTED_VALUE"""),45828.0)</f>
        <v>45828</v>
      </c>
      <c r="F331" s="13">
        <f>IFERROR(__xludf.DUMMYFUNCTION("""COMPUTED_VALUE"""),45828.0)</f>
        <v>45828</v>
      </c>
      <c r="G331" s="15" t="s">
        <v>5150</v>
      </c>
      <c r="H331" s="15" t="s">
        <v>5150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 t="str">
        <f>IFERROR(__xludf.DUMMYFUNCTION("""COMPUTED_VALUE"""),"Universal Display Corp  Com")</f>
        <v>Universal Display Corp  Com</v>
      </c>
      <c r="B332" s="12" t="str">
        <f>IFERROR(__xludf.DUMMYFUNCTION("""COMPUTED_VALUE"""),"OLED-US")</f>
        <v>OLED-US</v>
      </c>
      <c r="C332" s="12"/>
      <c r="D332" s="13">
        <f>IFERROR(__xludf.DUMMYFUNCTION("""COMPUTED_VALUE"""),45414.0)</f>
        <v>45414</v>
      </c>
      <c r="E332" s="13">
        <f>IFERROR(__xludf.DUMMYFUNCTION("""COMPUTED_VALUE"""),45826.0)</f>
        <v>45826</v>
      </c>
      <c r="F332" s="13">
        <f>IFERROR(__xludf.DUMMYFUNCTION("""COMPUTED_VALUE"""),45826.0)</f>
        <v>45826</v>
      </c>
      <c r="G332" s="15" t="s">
        <v>5150</v>
      </c>
      <c r="H332" s="15" t="s">
        <v>5150</v>
      </c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 t="str">
        <f>IFERROR(__xludf.DUMMYFUNCTION("""COMPUTED_VALUE"""),"Exlservice Holdings Inc  Com")</f>
        <v>Exlservice Holdings Inc  Com</v>
      </c>
      <c r="B333" s="12" t="str">
        <f>IFERROR(__xludf.DUMMYFUNCTION("""COMPUTED_VALUE"""),"EXLS-US")</f>
        <v>EXLS-US</v>
      </c>
      <c r="C333" s="12"/>
      <c r="D333" s="13">
        <f>IFERROR(__xludf.DUMMYFUNCTION("""COMPUTED_VALUE"""),45414.0)</f>
        <v>45414</v>
      </c>
      <c r="E333" s="13">
        <f>IFERROR(__xludf.DUMMYFUNCTION("""COMPUTED_VALUE"""),45825.0)</f>
        <v>45825</v>
      </c>
      <c r="F333" s="13">
        <f>IFERROR(__xludf.DUMMYFUNCTION("""COMPUTED_VALUE"""),45825.0)</f>
        <v>45825</v>
      </c>
      <c r="G333" s="15" t="s">
        <v>5150</v>
      </c>
      <c r="H333" s="15" t="s">
        <v>5150</v>
      </c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 t="str">
        <f>IFERROR(__xludf.DUMMYFUNCTION("""COMPUTED_VALUE"""),"Revolution Medicines Inc  Com")</f>
        <v>Revolution Medicines Inc  Com</v>
      </c>
      <c r="B334" s="12" t="str">
        <f>IFERROR(__xludf.DUMMYFUNCTION("""COMPUTED_VALUE"""),"RVMD-US")</f>
        <v>RVMD-US</v>
      </c>
      <c r="C334" s="12"/>
      <c r="D334" s="13">
        <f>IFERROR(__xludf.DUMMYFUNCTION("""COMPUTED_VALUE"""),45414.0)</f>
        <v>45414</v>
      </c>
      <c r="E334" s="13">
        <f>IFERROR(__xludf.DUMMYFUNCTION("""COMPUTED_VALUE"""),45834.0)</f>
        <v>45834</v>
      </c>
      <c r="F334" s="13">
        <f>IFERROR(__xludf.DUMMYFUNCTION("""COMPUTED_VALUE"""),45834.0)</f>
        <v>45834</v>
      </c>
      <c r="G334" s="15" t="s">
        <v>5150</v>
      </c>
      <c r="H334" s="15" t="s">
        <v>5150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 t="str">
        <f>IFERROR(__xludf.DUMMYFUNCTION("""COMPUTED_VALUE"""),"Uipath Inc  Cl A")</f>
        <v>Uipath Inc  Cl A</v>
      </c>
      <c r="B335" s="12" t="str">
        <f>IFERROR(__xludf.DUMMYFUNCTION("""COMPUTED_VALUE"""),"PATH-US")</f>
        <v>PATH-US</v>
      </c>
      <c r="C335" s="12"/>
      <c r="D335" s="13">
        <f>IFERROR(__xludf.DUMMYFUNCTION("""COMPUTED_VALUE"""),45414.0)</f>
        <v>45414</v>
      </c>
      <c r="E335" s="13">
        <f>IFERROR(__xludf.DUMMYFUNCTION("""COMPUTED_VALUE"""),45834.0)</f>
        <v>45834</v>
      </c>
      <c r="F335" s="13">
        <f>IFERROR(__xludf.DUMMYFUNCTION("""COMPUTED_VALUE"""),45834.0)</f>
        <v>45834</v>
      </c>
      <c r="G335" s="15" t="s">
        <v>5150</v>
      </c>
      <c r="H335" s="15" t="s">
        <v>5150</v>
      </c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 t="str">
        <f>IFERROR(__xludf.DUMMYFUNCTION("""COMPUTED_VALUE"""),"Pvh Corp  Com")</f>
        <v>Pvh Corp  Com</v>
      </c>
      <c r="B336" s="12" t="str">
        <f>IFERROR(__xludf.DUMMYFUNCTION("""COMPUTED_VALUE"""),"PVH-US")</f>
        <v>PVH-US</v>
      </c>
      <c r="C336" s="12"/>
      <c r="D336" s="13">
        <f>IFERROR(__xludf.DUMMYFUNCTION("""COMPUTED_VALUE"""),45414.0)</f>
        <v>45414</v>
      </c>
      <c r="E336" s="13">
        <f>IFERROR(__xludf.DUMMYFUNCTION("""COMPUTED_VALUE"""),45826.0)</f>
        <v>45826</v>
      </c>
      <c r="F336" s="13">
        <f>IFERROR(__xludf.DUMMYFUNCTION("""COMPUTED_VALUE"""),45826.0)</f>
        <v>45826</v>
      </c>
      <c r="G336" s="15" t="s">
        <v>5150</v>
      </c>
      <c r="H336" s="15" t="s">
        <v>5150</v>
      </c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 t="str">
        <f>IFERROR(__xludf.DUMMYFUNCTION("""COMPUTED_VALUE"""),"Balchem Corp  Com")</f>
        <v>Balchem Corp  Com</v>
      </c>
      <c r="B337" s="12" t="str">
        <f>IFERROR(__xludf.DUMMYFUNCTION("""COMPUTED_VALUE"""),"BCPC-US")</f>
        <v>BCPC-US</v>
      </c>
      <c r="C337" s="12"/>
      <c r="D337" s="13">
        <f>IFERROR(__xludf.DUMMYFUNCTION("""COMPUTED_VALUE"""),45414.0)</f>
        <v>45414</v>
      </c>
      <c r="E337" s="13">
        <f>IFERROR(__xludf.DUMMYFUNCTION("""COMPUTED_VALUE"""),45826.0)</f>
        <v>45826</v>
      </c>
      <c r="F337" s="13">
        <f>IFERROR(__xludf.DUMMYFUNCTION("""COMPUTED_VALUE"""),45826.0)</f>
        <v>45826</v>
      </c>
      <c r="G337" s="15" t="s">
        <v>5150</v>
      </c>
      <c r="H337" s="15" t="s">
        <v>5150</v>
      </c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 t="str">
        <f>IFERROR(__xludf.DUMMYFUNCTION("""COMPUTED_VALUE"""),"Gates Industrial Corp Plc  Com")</f>
        <v>Gates Industrial Corp Plc  Com</v>
      </c>
      <c r="B338" s="12" t="str">
        <f>IFERROR(__xludf.DUMMYFUNCTION("""COMPUTED_VALUE"""),"GTES-US")</f>
        <v>GTES-US</v>
      </c>
      <c r="C338" s="12"/>
      <c r="D338" s="13">
        <f>IFERROR(__xludf.DUMMYFUNCTION("""COMPUTED_VALUE"""),45414.0)</f>
        <v>45414</v>
      </c>
      <c r="E338" s="13">
        <f>IFERROR(__xludf.DUMMYFUNCTION("""COMPUTED_VALUE"""),45813.0)</f>
        <v>45813</v>
      </c>
      <c r="F338" s="13">
        <f>IFERROR(__xludf.DUMMYFUNCTION("""COMPUTED_VALUE"""),45813.0)</f>
        <v>45813</v>
      </c>
      <c r="G338" s="15" t="s">
        <v>5150</v>
      </c>
      <c r="H338" s="15" t="s">
        <v>5150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 t="str">
        <f>IFERROR(__xludf.DUMMYFUNCTION("""COMPUTED_VALUE"""),"Pjt Partners Inc  Cl A")</f>
        <v>Pjt Partners Inc  Cl A</v>
      </c>
      <c r="B339" s="12" t="str">
        <f>IFERROR(__xludf.DUMMYFUNCTION("""COMPUTED_VALUE"""),"PJT-US")</f>
        <v>PJT-US</v>
      </c>
      <c r="C339" s="12"/>
      <c r="D339" s="13">
        <f>IFERROR(__xludf.DUMMYFUNCTION("""COMPUTED_VALUE"""),45414.0)</f>
        <v>45414</v>
      </c>
      <c r="E339" s="13">
        <f>IFERROR(__xludf.DUMMYFUNCTION("""COMPUTED_VALUE"""),45826.0)</f>
        <v>45826</v>
      </c>
      <c r="F339" s="13">
        <f>IFERROR(__xludf.DUMMYFUNCTION("""COMPUTED_VALUE"""),45826.0)</f>
        <v>45826</v>
      </c>
      <c r="G339" s="15" t="s">
        <v>5150</v>
      </c>
      <c r="H339" s="15" t="s">
        <v>5150</v>
      </c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 t="str">
        <f>IFERROR(__xludf.DUMMYFUNCTION("""COMPUTED_VALUE"""),"Ncino Inc  Com")</f>
        <v>Ncino Inc  Com</v>
      </c>
      <c r="B340" s="12" t="str">
        <f>IFERROR(__xludf.DUMMYFUNCTION("""COMPUTED_VALUE"""),"NCNO-US")</f>
        <v>NCNO-US</v>
      </c>
      <c r="C340" s="12"/>
      <c r="D340" s="13">
        <f>IFERROR(__xludf.DUMMYFUNCTION("""COMPUTED_VALUE"""),45414.0)</f>
        <v>45414</v>
      </c>
      <c r="E340" s="13">
        <f>IFERROR(__xludf.DUMMYFUNCTION("""COMPUTED_VALUE"""),45826.0)</f>
        <v>45826</v>
      </c>
      <c r="F340" s="13">
        <f>IFERROR(__xludf.DUMMYFUNCTION("""COMPUTED_VALUE"""),45826.0)</f>
        <v>45826</v>
      </c>
      <c r="G340" s="15" t="s">
        <v>5150</v>
      </c>
      <c r="H340" s="15" t="s">
        <v>5150</v>
      </c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 t="str">
        <f>IFERROR(__xludf.DUMMYFUNCTION("""COMPUTED_VALUE"""),"Protagonist Therapeutics Inc  Com")</f>
        <v>Protagonist Therapeutics Inc  Com</v>
      </c>
      <c r="B341" s="12" t="str">
        <f>IFERROR(__xludf.DUMMYFUNCTION("""COMPUTED_VALUE"""),"PTGX-US")</f>
        <v>PTGX-US</v>
      </c>
      <c r="C341" s="12"/>
      <c r="D341" s="13">
        <f>IFERROR(__xludf.DUMMYFUNCTION("""COMPUTED_VALUE"""),45414.0)</f>
        <v>45414</v>
      </c>
      <c r="E341" s="13">
        <f>IFERROR(__xludf.DUMMYFUNCTION("""COMPUTED_VALUE"""),45828.0)</f>
        <v>45828</v>
      </c>
      <c r="F341" s="13">
        <f>IFERROR(__xludf.DUMMYFUNCTION("""COMPUTED_VALUE"""),45828.0)</f>
        <v>45828</v>
      </c>
      <c r="G341" s="15" t="s">
        <v>5150</v>
      </c>
      <c r="H341" s="15" t="s">
        <v>5150</v>
      </c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 t="str">
        <f>IFERROR(__xludf.DUMMYFUNCTION("""COMPUTED_VALUE"""),"Argan Inc  Com")</f>
        <v>Argan Inc  Com</v>
      </c>
      <c r="B342" s="12" t="str">
        <f>IFERROR(__xludf.DUMMYFUNCTION("""COMPUTED_VALUE"""),"AGX-US")</f>
        <v>AGX-US</v>
      </c>
      <c r="C342" s="12"/>
      <c r="D342" s="13">
        <f>IFERROR(__xludf.DUMMYFUNCTION("""COMPUTED_VALUE"""),45414.0)</f>
        <v>45414</v>
      </c>
      <c r="E342" s="13">
        <f>IFERROR(__xludf.DUMMYFUNCTION("""COMPUTED_VALUE"""),45825.0)</f>
        <v>45825</v>
      </c>
      <c r="F342" s="13">
        <f>IFERROR(__xludf.DUMMYFUNCTION("""COMPUTED_VALUE"""),45825.0)</f>
        <v>45825</v>
      </c>
      <c r="G342" s="15" t="s">
        <v>5150</v>
      </c>
      <c r="H342" s="15" t="s">
        <v>5150</v>
      </c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 t="str">
        <f>IFERROR(__xludf.DUMMYFUNCTION("""COMPUTED_VALUE"""),"Agios Pharmaceuticals Inc  Com")</f>
        <v>Agios Pharmaceuticals Inc  Com</v>
      </c>
      <c r="B343" s="12" t="str">
        <f>IFERROR(__xludf.DUMMYFUNCTION("""COMPUTED_VALUE"""),"AGIO-US")</f>
        <v>AGIO-US</v>
      </c>
      <c r="C343" s="12"/>
      <c r="D343" s="13">
        <f>IFERROR(__xludf.DUMMYFUNCTION("""COMPUTED_VALUE"""),45414.0)</f>
        <v>45414</v>
      </c>
      <c r="E343" s="13">
        <f>IFERROR(__xludf.DUMMYFUNCTION("""COMPUTED_VALUE"""),45826.0)</f>
        <v>45826</v>
      </c>
      <c r="F343" s="13">
        <f>IFERROR(__xludf.DUMMYFUNCTION("""COMPUTED_VALUE"""),45826.0)</f>
        <v>45826</v>
      </c>
      <c r="G343" s="15" t="s">
        <v>5150</v>
      </c>
      <c r="H343" s="15" t="s">
        <v>5150</v>
      </c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 t="str">
        <f>IFERROR(__xludf.DUMMYFUNCTION("""COMPUTED_VALUE"""),"Avidxchange Holdings Inc  Com")</f>
        <v>Avidxchange Holdings Inc  Com</v>
      </c>
      <c r="B344" s="12" t="str">
        <f>IFERROR(__xludf.DUMMYFUNCTION("""COMPUTED_VALUE"""),"AVDX-US")</f>
        <v>AVDX-US</v>
      </c>
      <c r="C344" s="12"/>
      <c r="D344" s="13">
        <f>IFERROR(__xludf.DUMMYFUNCTION("""COMPUTED_VALUE"""),45414.0)</f>
        <v>45414</v>
      </c>
      <c r="E344" s="13">
        <f>IFERROR(__xludf.DUMMYFUNCTION("""COMPUTED_VALUE"""),45834.0)</f>
        <v>45834</v>
      </c>
      <c r="F344" s="13">
        <f>IFERROR(__xludf.DUMMYFUNCTION("""COMPUTED_VALUE"""),45834.0)</f>
        <v>45834</v>
      </c>
      <c r="G344" s="15" t="s">
        <v>5150</v>
      </c>
      <c r="H344" s="15" t="s">
        <v>5150</v>
      </c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 t="str">
        <f>IFERROR(__xludf.DUMMYFUNCTION("""COMPUTED_VALUE"""),"Apogee Enterprises Inc  Com")</f>
        <v>Apogee Enterprises Inc  Com</v>
      </c>
      <c r="B345" s="12" t="str">
        <f>IFERROR(__xludf.DUMMYFUNCTION("""COMPUTED_VALUE"""),"APOG-US")</f>
        <v>APOG-US</v>
      </c>
      <c r="C345" s="12"/>
      <c r="D345" s="13">
        <f>IFERROR(__xludf.DUMMYFUNCTION("""COMPUTED_VALUE"""),45414.0)</f>
        <v>45414</v>
      </c>
      <c r="E345" s="13">
        <f>IFERROR(__xludf.DUMMYFUNCTION("""COMPUTED_VALUE"""),45833.0)</f>
        <v>45833</v>
      </c>
      <c r="F345" s="13">
        <f>IFERROR(__xludf.DUMMYFUNCTION("""COMPUTED_VALUE"""),45833.0)</f>
        <v>45833</v>
      </c>
      <c r="G345" s="15" t="s">
        <v>5150</v>
      </c>
      <c r="H345" s="15" t="s">
        <v>5150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 t="str">
        <f>IFERROR(__xludf.DUMMYFUNCTION("""COMPUTED_VALUE"""),"Genedx Holdings Corp  Cl A")</f>
        <v>Genedx Holdings Corp  Cl A</v>
      </c>
      <c r="B346" s="12" t="str">
        <f>IFERROR(__xludf.DUMMYFUNCTION("""COMPUTED_VALUE"""),"WGS-US")</f>
        <v>WGS-US</v>
      </c>
      <c r="C346" s="12"/>
      <c r="D346" s="13">
        <f>IFERROR(__xludf.DUMMYFUNCTION("""COMPUTED_VALUE"""),45414.0)</f>
        <v>45414</v>
      </c>
      <c r="E346" s="13">
        <f>IFERROR(__xludf.DUMMYFUNCTION("""COMPUTED_VALUE"""),45826.0)</f>
        <v>45826</v>
      </c>
      <c r="F346" s="13">
        <f>IFERROR(__xludf.DUMMYFUNCTION("""COMPUTED_VALUE"""),45826.0)</f>
        <v>45826</v>
      </c>
      <c r="G346" s="15" t="s">
        <v>5150</v>
      </c>
      <c r="H346" s="15" t="s">
        <v>5150</v>
      </c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 t="str">
        <f>IFERROR(__xludf.DUMMYFUNCTION("""COMPUTED_VALUE"""),"Sjw Group  Com")</f>
        <v>Sjw Group  Com</v>
      </c>
      <c r="B347" s="12" t="str">
        <f>IFERROR(__xludf.DUMMYFUNCTION("""COMPUTED_VALUE"""),"SJW-US")</f>
        <v>SJW-US</v>
      </c>
      <c r="C347" s="12"/>
      <c r="D347" s="13">
        <f>IFERROR(__xludf.DUMMYFUNCTION("""COMPUTED_VALUE"""),45414.0)</f>
        <v>45414</v>
      </c>
      <c r="E347" s="13">
        <f>IFERROR(__xludf.DUMMYFUNCTION("""COMPUTED_VALUE"""),45791.0)</f>
        <v>45791</v>
      </c>
      <c r="F347" s="13">
        <f>IFERROR(__xludf.DUMMYFUNCTION("""COMPUTED_VALUE"""),45791.0)</f>
        <v>45791</v>
      </c>
      <c r="G347" s="15" t="s">
        <v>5150</v>
      </c>
      <c r="H347" s="16" t="s">
        <v>5151</v>
      </c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 t="str">
        <f>IFERROR(__xludf.DUMMYFUNCTION("""COMPUTED_VALUE"""),"Staar Surgical Co  Com")</f>
        <v>Staar Surgical Co  Com</v>
      </c>
      <c r="B348" s="12" t="str">
        <f>IFERROR(__xludf.DUMMYFUNCTION("""COMPUTED_VALUE"""),"STAA-US")</f>
        <v>STAA-US</v>
      </c>
      <c r="C348" s="12"/>
      <c r="D348" s="13">
        <f>IFERROR(__xludf.DUMMYFUNCTION("""COMPUTED_VALUE"""),45414.0)</f>
        <v>45414</v>
      </c>
      <c r="E348" s="13">
        <f>IFERROR(__xludf.DUMMYFUNCTION("""COMPUTED_VALUE"""),45826.0)</f>
        <v>45826</v>
      </c>
      <c r="F348" s="13">
        <f>IFERROR(__xludf.DUMMYFUNCTION("""COMPUTED_VALUE"""),45826.0)</f>
        <v>45826</v>
      </c>
      <c r="G348" s="15" t="s">
        <v>5150</v>
      </c>
      <c r="H348" s="15" t="s">
        <v>5150</v>
      </c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 t="str">
        <f>IFERROR(__xludf.DUMMYFUNCTION("""COMPUTED_VALUE"""),"Dave &amp; Busters Entertainment  Com")</f>
        <v>Dave &amp; Busters Entertainment  Com</v>
      </c>
      <c r="B349" s="12" t="str">
        <f>IFERROR(__xludf.DUMMYFUNCTION("""COMPUTED_VALUE"""),"PLAY-US")</f>
        <v>PLAY-US</v>
      </c>
      <c r="C349" s="12"/>
      <c r="D349" s="13">
        <f>IFERROR(__xludf.DUMMYFUNCTION("""COMPUTED_VALUE"""),45414.0)</f>
        <v>45414</v>
      </c>
      <c r="E349" s="13">
        <f>IFERROR(__xludf.DUMMYFUNCTION("""COMPUTED_VALUE"""),45826.0)</f>
        <v>45826</v>
      </c>
      <c r="F349" s="13">
        <f>IFERROR(__xludf.DUMMYFUNCTION("""COMPUTED_VALUE"""),45826.0)</f>
        <v>45826</v>
      </c>
      <c r="G349" s="16" t="s">
        <v>5152</v>
      </c>
      <c r="H349" s="16" t="s">
        <v>5152</v>
      </c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 t="str">
        <f>IFERROR(__xludf.DUMMYFUNCTION("""COMPUTED_VALUE"""),"Centrus Energy  Cl A")</f>
        <v>Centrus Energy  Cl A</v>
      </c>
      <c r="B350" s="12" t="str">
        <f>IFERROR(__xludf.DUMMYFUNCTION("""COMPUTED_VALUE"""),"LEU-US")</f>
        <v>LEU-US</v>
      </c>
      <c r="C350" s="12"/>
      <c r="D350" s="13">
        <f>IFERROR(__xludf.DUMMYFUNCTION("""COMPUTED_VALUE"""),45414.0)</f>
        <v>45414</v>
      </c>
      <c r="E350" s="13">
        <f>IFERROR(__xludf.DUMMYFUNCTION("""COMPUTED_VALUE"""),45828.0)</f>
        <v>45828</v>
      </c>
      <c r="F350" s="13">
        <f>IFERROR(__xludf.DUMMYFUNCTION("""COMPUTED_VALUE"""),45828.0)</f>
        <v>45828</v>
      </c>
      <c r="G350" s="15" t="s">
        <v>5150</v>
      </c>
      <c r="H350" s="15" t="s">
        <v>5150</v>
      </c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 t="str">
        <f>IFERROR(__xludf.DUMMYFUNCTION("""COMPUTED_VALUE"""),"Liquidia Corp  Com")</f>
        <v>Liquidia Corp  Com</v>
      </c>
      <c r="B351" s="12" t="str">
        <f>IFERROR(__xludf.DUMMYFUNCTION("""COMPUTED_VALUE"""),"LQDA-US")</f>
        <v>LQDA-US</v>
      </c>
      <c r="C351" s="12"/>
      <c r="D351" s="13">
        <f>IFERROR(__xludf.DUMMYFUNCTION("""COMPUTED_VALUE"""),45414.0)</f>
        <v>45414</v>
      </c>
      <c r="E351" s="13">
        <f>IFERROR(__xludf.DUMMYFUNCTION("""COMPUTED_VALUE"""),45825.0)</f>
        <v>45825</v>
      </c>
      <c r="F351" s="13">
        <f>IFERROR(__xludf.DUMMYFUNCTION("""COMPUTED_VALUE"""),45825.0)</f>
        <v>45825</v>
      </c>
      <c r="G351" s="15" t="s">
        <v>5150</v>
      </c>
      <c r="H351" s="15" t="s">
        <v>5150</v>
      </c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 t="str">
        <f>IFERROR(__xludf.DUMMYFUNCTION("""COMPUTED_VALUE"""),"Olo Inc  Cl A")</f>
        <v>Olo Inc  Cl A</v>
      </c>
      <c r="B352" s="12" t="str">
        <f>IFERROR(__xludf.DUMMYFUNCTION("""COMPUTED_VALUE"""),"OLO-US")</f>
        <v>OLO-US</v>
      </c>
      <c r="C352" s="12"/>
      <c r="D352" s="13">
        <f>IFERROR(__xludf.DUMMYFUNCTION("""COMPUTED_VALUE"""),45414.0)</f>
        <v>45414</v>
      </c>
      <c r="E352" s="13">
        <f>IFERROR(__xludf.DUMMYFUNCTION("""COMPUTED_VALUE"""),45820.0)</f>
        <v>45820</v>
      </c>
      <c r="F352" s="13">
        <f>IFERROR(__xludf.DUMMYFUNCTION("""COMPUTED_VALUE"""),45820.0)</f>
        <v>45820</v>
      </c>
      <c r="G352" s="16" t="s">
        <v>5151</v>
      </c>
      <c r="H352" s="16" t="s">
        <v>5151</v>
      </c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 t="str">
        <f>IFERROR(__xludf.DUMMYFUNCTION("""COMPUTED_VALUE"""),"Ars Pharmaceuticals Inc  Com")</f>
        <v>Ars Pharmaceuticals Inc  Com</v>
      </c>
      <c r="B353" s="12" t="str">
        <f>IFERROR(__xludf.DUMMYFUNCTION("""COMPUTED_VALUE"""),"SPRY-US")</f>
        <v>SPRY-US</v>
      </c>
      <c r="C353" s="12"/>
      <c r="D353" s="13">
        <f>IFERROR(__xludf.DUMMYFUNCTION("""COMPUTED_VALUE"""),45414.0)</f>
        <v>45414</v>
      </c>
      <c r="E353" s="13">
        <f>IFERROR(__xludf.DUMMYFUNCTION("""COMPUTED_VALUE"""),45833.0)</f>
        <v>45833</v>
      </c>
      <c r="F353" s="13">
        <f>IFERROR(__xludf.DUMMYFUNCTION("""COMPUTED_VALUE"""),45833.0)</f>
        <v>45833</v>
      </c>
      <c r="G353" s="15" t="s">
        <v>5150</v>
      </c>
      <c r="H353" s="15" t="s">
        <v>5150</v>
      </c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 t="str">
        <f>IFERROR(__xludf.DUMMYFUNCTION("""COMPUTED_VALUE"""),"Adapthealth Corp  Cl A")</f>
        <v>Adapthealth Corp  Cl A</v>
      </c>
      <c r="B354" s="12" t="str">
        <f>IFERROR(__xludf.DUMMYFUNCTION("""COMPUTED_VALUE"""),"AHCO-US")</f>
        <v>AHCO-US</v>
      </c>
      <c r="C354" s="12"/>
      <c r="D354" s="13">
        <f>IFERROR(__xludf.DUMMYFUNCTION("""COMPUTED_VALUE"""),45414.0)</f>
        <v>45414</v>
      </c>
      <c r="E354" s="13">
        <f>IFERROR(__xludf.DUMMYFUNCTION("""COMPUTED_VALUE"""),45826.0)</f>
        <v>45826</v>
      </c>
      <c r="F354" s="13">
        <f>IFERROR(__xludf.DUMMYFUNCTION("""COMPUTED_VALUE"""),45826.0)</f>
        <v>45826</v>
      </c>
      <c r="G354" s="15" t="s">
        <v>5150</v>
      </c>
      <c r="H354" s="15" t="s">
        <v>5150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 t="str">
        <f>IFERROR(__xludf.DUMMYFUNCTION("""COMPUTED_VALUE"""),"Erasca Inc  Com")</f>
        <v>Erasca Inc  Com</v>
      </c>
      <c r="B355" s="12" t="str">
        <f>IFERROR(__xludf.DUMMYFUNCTION("""COMPUTED_VALUE"""),"ERAS-US")</f>
        <v>ERAS-US</v>
      </c>
      <c r="C355" s="12"/>
      <c r="D355" s="13">
        <f>IFERROR(__xludf.DUMMYFUNCTION("""COMPUTED_VALUE"""),45414.0)</f>
        <v>45414</v>
      </c>
      <c r="E355" s="13">
        <f>IFERROR(__xludf.DUMMYFUNCTION("""COMPUTED_VALUE"""),45832.0)</f>
        <v>45832</v>
      </c>
      <c r="F355" s="13">
        <f>IFERROR(__xludf.DUMMYFUNCTION("""COMPUTED_VALUE"""),45832.0)</f>
        <v>45832</v>
      </c>
      <c r="G355" s="15" t="s">
        <v>5150</v>
      </c>
      <c r="H355" s="15" t="s">
        <v>5150</v>
      </c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 t="str">
        <f>IFERROR(__xludf.DUMMYFUNCTION("""COMPUTED_VALUE"""),"Iradimed Corp  Com")</f>
        <v>Iradimed Corp  Com</v>
      </c>
      <c r="B356" s="12" t="str">
        <f>IFERROR(__xludf.DUMMYFUNCTION("""COMPUTED_VALUE"""),"IRMD-US")</f>
        <v>IRMD-US</v>
      </c>
      <c r="C356" s="12"/>
      <c r="D356" s="13">
        <f>IFERROR(__xludf.DUMMYFUNCTION("""COMPUTED_VALUE"""),45414.0)</f>
        <v>45414</v>
      </c>
      <c r="E356" s="13">
        <f>IFERROR(__xludf.DUMMYFUNCTION("""COMPUTED_VALUE"""),45827.0)</f>
        <v>45827</v>
      </c>
      <c r="F356" s="13">
        <f>IFERROR(__xludf.DUMMYFUNCTION("""COMPUTED_VALUE"""),45827.0)</f>
        <v>45827</v>
      </c>
      <c r="G356" s="15" t="s">
        <v>5150</v>
      </c>
      <c r="H356" s="15" t="s">
        <v>5150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 t="str">
        <f>IFERROR(__xludf.DUMMYFUNCTION("""COMPUTED_VALUE"""),"Brookfield Business Corp  Sub Vtg A")</f>
        <v>Brookfield Business Corp  Sub Vtg A</v>
      </c>
      <c r="B357" s="12" t="str">
        <f>IFERROR(__xludf.DUMMYFUNCTION("""COMPUTED_VALUE"""),"BBUC-CA")</f>
        <v>BBUC-CA</v>
      </c>
      <c r="C357" s="12"/>
      <c r="D357" s="13">
        <f>IFERROR(__xludf.DUMMYFUNCTION("""COMPUTED_VALUE"""),45414.0)</f>
        <v>45414</v>
      </c>
      <c r="E357" s="13">
        <f>IFERROR(__xludf.DUMMYFUNCTION("""COMPUTED_VALUE"""),45818.0)</f>
        <v>45818</v>
      </c>
      <c r="F357" s="13">
        <f>IFERROR(__xludf.DUMMYFUNCTION("""COMPUTED_VALUE"""),45818.0)</f>
        <v>45818</v>
      </c>
      <c r="G357" s="16" t="s">
        <v>5152</v>
      </c>
      <c r="H357" s="16" t="s">
        <v>5152</v>
      </c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 t="str">
        <f>IFERROR(__xludf.DUMMYFUNCTION("""COMPUTED_VALUE"""),"Cto Realty Growth Inc  Com")</f>
        <v>Cto Realty Growth Inc  Com</v>
      </c>
      <c r="B358" s="12" t="str">
        <f>IFERROR(__xludf.DUMMYFUNCTION("""COMPUTED_VALUE"""),"CTO-US")</f>
        <v>CTO-US</v>
      </c>
      <c r="C358" s="12"/>
      <c r="D358" s="13">
        <f>IFERROR(__xludf.DUMMYFUNCTION("""COMPUTED_VALUE"""),45414.0)</f>
        <v>45414</v>
      </c>
      <c r="E358" s="13">
        <f>IFERROR(__xludf.DUMMYFUNCTION("""COMPUTED_VALUE"""),45826.0)</f>
        <v>45826</v>
      </c>
      <c r="F358" s="13">
        <f>IFERROR(__xludf.DUMMYFUNCTION("""COMPUTED_VALUE"""),45826.0)</f>
        <v>45826</v>
      </c>
      <c r="G358" s="15" t="s">
        <v>5150</v>
      </c>
      <c r="H358" s="15" t="s">
        <v>5150</v>
      </c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 t="str">
        <f>IFERROR(__xludf.DUMMYFUNCTION("""COMPUTED_VALUE"""),"Evercommerce Inc  Com")</f>
        <v>Evercommerce Inc  Com</v>
      </c>
      <c r="B359" s="12" t="str">
        <f>IFERROR(__xludf.DUMMYFUNCTION("""COMPUTED_VALUE"""),"EVCM-US")</f>
        <v>EVCM-US</v>
      </c>
      <c r="C359" s="12"/>
      <c r="D359" s="13">
        <f>IFERROR(__xludf.DUMMYFUNCTION("""COMPUTED_VALUE"""),45414.0)</f>
        <v>45414</v>
      </c>
      <c r="E359" s="13">
        <f>IFERROR(__xludf.DUMMYFUNCTION("""COMPUTED_VALUE"""),45828.0)</f>
        <v>45828</v>
      </c>
      <c r="F359" s="13">
        <f>IFERROR(__xludf.DUMMYFUNCTION("""COMPUTED_VALUE"""),45828.0)</f>
        <v>45828</v>
      </c>
      <c r="G359" s="15" t="s">
        <v>5150</v>
      </c>
      <c r="H359" s="15" t="s">
        <v>5150</v>
      </c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 t="str">
        <f>IFERROR(__xludf.DUMMYFUNCTION("""COMPUTED_VALUE"""),"Chromadex Corp  Com")</f>
        <v>Chromadex Corp  Com</v>
      </c>
      <c r="B360" s="12" t="str">
        <f>IFERROR(__xludf.DUMMYFUNCTION("""COMPUTED_VALUE"""),"CDXC-US")</f>
        <v>CDXC-US</v>
      </c>
      <c r="C360" s="12"/>
      <c r="D360" s="13">
        <f>IFERROR(__xludf.DUMMYFUNCTION("""COMPUTED_VALUE"""),45414.0)</f>
        <v>45414</v>
      </c>
      <c r="E360" s="13">
        <f>IFERROR(__xludf.DUMMYFUNCTION("""COMPUTED_VALUE"""),45832.0)</f>
        <v>45832</v>
      </c>
      <c r="F360" s="13">
        <f>IFERROR(__xludf.DUMMYFUNCTION("""COMPUTED_VALUE"""),45832.0)</f>
        <v>45832</v>
      </c>
      <c r="G360" s="15" t="s">
        <v>5150</v>
      </c>
      <c r="H360" s="15" t="s">
        <v>5150</v>
      </c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 t="str">
        <f>IFERROR(__xludf.DUMMYFUNCTION("""COMPUTED_VALUE"""),"Aquestive Therapeutics Inc  Com")</f>
        <v>Aquestive Therapeutics Inc  Com</v>
      </c>
      <c r="B361" s="12" t="str">
        <f>IFERROR(__xludf.DUMMYFUNCTION("""COMPUTED_VALUE"""),"AQST-US")</f>
        <v>AQST-US</v>
      </c>
      <c r="C361" s="12"/>
      <c r="D361" s="13">
        <f>IFERROR(__xludf.DUMMYFUNCTION("""COMPUTED_VALUE"""),45414.0)</f>
        <v>45414</v>
      </c>
      <c r="E361" s="13">
        <f>IFERROR(__xludf.DUMMYFUNCTION("""COMPUTED_VALUE"""),45819.0)</f>
        <v>45819</v>
      </c>
      <c r="F361" s="13">
        <f>IFERROR(__xludf.DUMMYFUNCTION("""COMPUTED_VALUE"""),45819.0)</f>
        <v>45819</v>
      </c>
      <c r="G361" s="15" t="s">
        <v>5150</v>
      </c>
      <c r="H361" s="15" t="s">
        <v>5150</v>
      </c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 t="str">
        <f>IFERROR(__xludf.DUMMYFUNCTION("""COMPUTED_VALUE"""),"Eyepoint Pharmaceuticals Inc  Com")</f>
        <v>Eyepoint Pharmaceuticals Inc  Com</v>
      </c>
      <c r="B362" s="12" t="str">
        <f>IFERROR(__xludf.DUMMYFUNCTION("""COMPUTED_VALUE"""),"EYPT-US")</f>
        <v>EYPT-US</v>
      </c>
      <c r="C362" s="12"/>
      <c r="D362" s="13">
        <f>IFERROR(__xludf.DUMMYFUNCTION("""COMPUTED_VALUE"""),45414.0)</f>
        <v>45414</v>
      </c>
      <c r="E362" s="13">
        <f>IFERROR(__xludf.DUMMYFUNCTION("""COMPUTED_VALUE"""),45826.0)</f>
        <v>45826</v>
      </c>
      <c r="F362" s="13">
        <f>IFERROR(__xludf.DUMMYFUNCTION("""COMPUTED_VALUE"""),45826.0)</f>
        <v>45826</v>
      </c>
      <c r="G362" s="15" t="s">
        <v>5150</v>
      </c>
      <c r="H362" s="15" t="s">
        <v>5150</v>
      </c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 t="str">
        <f>IFERROR(__xludf.DUMMYFUNCTION("""COMPUTED_VALUE"""),"Designer Brands Inc  Cl A")</f>
        <v>Designer Brands Inc  Cl A</v>
      </c>
      <c r="B363" s="12" t="str">
        <f>IFERROR(__xludf.DUMMYFUNCTION("""COMPUTED_VALUE"""),"DBI-US")</f>
        <v>DBI-US</v>
      </c>
      <c r="C363" s="12"/>
      <c r="D363" s="13">
        <f>IFERROR(__xludf.DUMMYFUNCTION("""COMPUTED_VALUE"""),45414.0)</f>
        <v>45414</v>
      </c>
      <c r="E363" s="13">
        <f>IFERROR(__xludf.DUMMYFUNCTION("""COMPUTED_VALUE"""),45826.0)</f>
        <v>45826</v>
      </c>
      <c r="F363" s="13">
        <f>IFERROR(__xludf.DUMMYFUNCTION("""COMPUTED_VALUE"""),45826.0)</f>
        <v>45826</v>
      </c>
      <c r="G363" s="15" t="s">
        <v>5150</v>
      </c>
      <c r="H363" s="15" t="s">
        <v>5150</v>
      </c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 t="str">
        <f>IFERROR(__xludf.DUMMYFUNCTION("""COMPUTED_VALUE"""),"Organogenesis Holdings Inc  Cl A")</f>
        <v>Organogenesis Holdings Inc  Cl A</v>
      </c>
      <c r="B364" s="12" t="str">
        <f>IFERROR(__xludf.DUMMYFUNCTION("""COMPUTED_VALUE"""),"ORGO-US")</f>
        <v>ORGO-US</v>
      </c>
      <c r="C364" s="12"/>
      <c r="D364" s="13">
        <f>IFERROR(__xludf.DUMMYFUNCTION("""COMPUTED_VALUE"""),45414.0)</f>
        <v>45414</v>
      </c>
      <c r="E364" s="13">
        <f>IFERROR(__xludf.DUMMYFUNCTION("""COMPUTED_VALUE"""),45831.0)</f>
        <v>45831</v>
      </c>
      <c r="F364" s="13">
        <f>IFERROR(__xludf.DUMMYFUNCTION("""COMPUTED_VALUE"""),45831.0)</f>
        <v>45831</v>
      </c>
      <c r="G364" s="15" t="s">
        <v>5150</v>
      </c>
      <c r="H364" s="15" t="s">
        <v>5150</v>
      </c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 t="str">
        <f>IFERROR(__xludf.DUMMYFUNCTION("""COMPUTED_VALUE"""),"Movado Group Inc  Com")</f>
        <v>Movado Group Inc  Com</v>
      </c>
      <c r="B365" s="12" t="str">
        <f>IFERROR(__xludf.DUMMYFUNCTION("""COMPUTED_VALUE"""),"MOV-US")</f>
        <v>MOV-US</v>
      </c>
      <c r="C365" s="12"/>
      <c r="D365" s="13">
        <f>IFERROR(__xludf.DUMMYFUNCTION("""COMPUTED_VALUE"""),45414.0)</f>
        <v>45414</v>
      </c>
      <c r="E365" s="13">
        <f>IFERROR(__xludf.DUMMYFUNCTION("""COMPUTED_VALUE"""),45826.0)</f>
        <v>45826</v>
      </c>
      <c r="F365" s="13">
        <f>IFERROR(__xludf.DUMMYFUNCTION("""COMPUTED_VALUE"""),45826.0)</f>
        <v>45826</v>
      </c>
      <c r="G365" s="15" t="s">
        <v>5150</v>
      </c>
      <c r="H365" s="15" t="s">
        <v>5150</v>
      </c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 t="str">
        <f>IFERROR(__xludf.DUMMYFUNCTION("""COMPUTED_VALUE"""),"C4 Therapeutics Inc  Com")</f>
        <v>C4 Therapeutics Inc  Com</v>
      </c>
      <c r="B366" s="12" t="str">
        <f>IFERROR(__xludf.DUMMYFUNCTION("""COMPUTED_VALUE"""),"CCCC-US")</f>
        <v>CCCC-US</v>
      </c>
      <c r="C366" s="12"/>
      <c r="D366" s="13">
        <f>IFERROR(__xludf.DUMMYFUNCTION("""COMPUTED_VALUE"""),45414.0)</f>
        <v>45414</v>
      </c>
      <c r="E366" s="13">
        <f>IFERROR(__xludf.DUMMYFUNCTION("""COMPUTED_VALUE"""),45826.0)</f>
        <v>45826</v>
      </c>
      <c r="F366" s="13">
        <f>IFERROR(__xludf.DUMMYFUNCTION("""COMPUTED_VALUE"""),45826.0)</f>
        <v>45826</v>
      </c>
      <c r="G366" s="15" t="s">
        <v>5150</v>
      </c>
      <c r="H366" s="15" t="s">
        <v>5150</v>
      </c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 t="str">
        <f>IFERROR(__xludf.DUMMYFUNCTION("""COMPUTED_VALUE"""),"Aura Biosciences Inc  Com")</f>
        <v>Aura Biosciences Inc  Com</v>
      </c>
      <c r="B367" s="12" t="str">
        <f>IFERROR(__xludf.DUMMYFUNCTION("""COMPUTED_VALUE"""),"AURA-US")</f>
        <v>AURA-US</v>
      </c>
      <c r="C367" s="12"/>
      <c r="D367" s="13">
        <f>IFERROR(__xludf.DUMMYFUNCTION("""COMPUTED_VALUE"""),45414.0)</f>
        <v>45414</v>
      </c>
      <c r="E367" s="13">
        <f>IFERROR(__xludf.DUMMYFUNCTION("""COMPUTED_VALUE"""),45825.0)</f>
        <v>45825</v>
      </c>
      <c r="F367" s="13">
        <f>IFERROR(__xludf.DUMMYFUNCTION("""COMPUTED_VALUE"""),45825.0)</f>
        <v>45825</v>
      </c>
      <c r="G367" s="15" t="s">
        <v>5150</v>
      </c>
      <c r="H367" s="15" t="s">
        <v>5150</v>
      </c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 t="str">
        <f>IFERROR(__xludf.DUMMYFUNCTION("""COMPUTED_VALUE"""),"Growgeneration Corp  Com")</f>
        <v>Growgeneration Corp  Com</v>
      </c>
      <c r="B368" s="12" t="str">
        <f>IFERROR(__xludf.DUMMYFUNCTION("""COMPUTED_VALUE"""),"GRWG-US")</f>
        <v>GRWG-US</v>
      </c>
      <c r="C368" s="12"/>
      <c r="D368" s="13">
        <f>IFERROR(__xludf.DUMMYFUNCTION("""COMPUTED_VALUE"""),45414.0)</f>
        <v>45414</v>
      </c>
      <c r="E368" s="13">
        <f>IFERROR(__xludf.DUMMYFUNCTION("""COMPUTED_VALUE"""),45827.0)</f>
        <v>45827</v>
      </c>
      <c r="F368" s="13">
        <f>IFERROR(__xludf.DUMMYFUNCTION("""COMPUTED_VALUE"""),45827.0)</f>
        <v>45827</v>
      </c>
      <c r="G368" s="15" t="s">
        <v>5150</v>
      </c>
      <c r="H368" s="15" t="s">
        <v>5150</v>
      </c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 t="str">
        <f>IFERROR(__xludf.DUMMYFUNCTION("""COMPUTED_VALUE"""),"Tucows Inc  Com")</f>
        <v>Tucows Inc  Com</v>
      </c>
      <c r="B369" s="12" t="str">
        <f>IFERROR(__xludf.DUMMYFUNCTION("""COMPUTED_VALUE"""),"TCX-US")</f>
        <v>TCX-US</v>
      </c>
      <c r="C369" s="12"/>
      <c r="D369" s="13">
        <f>IFERROR(__xludf.DUMMYFUNCTION("""COMPUTED_VALUE"""),45414.0)</f>
        <v>45414</v>
      </c>
      <c r="E369" s="13">
        <f>IFERROR(__xludf.DUMMYFUNCTION("""COMPUTED_VALUE"""),45797.0)</f>
        <v>45797</v>
      </c>
      <c r="F369" s="13">
        <f>IFERROR(__xludf.DUMMYFUNCTION("""COMPUTED_VALUE"""),45797.0)</f>
        <v>45797</v>
      </c>
      <c r="G369" s="15" t="s">
        <v>5150</v>
      </c>
      <c r="H369" s="15" t="s">
        <v>5150</v>
      </c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 t="str">
        <f>IFERROR(__xludf.DUMMYFUNCTION("""COMPUTED_VALUE"""),"Pepgen Inc  Com")</f>
        <v>Pepgen Inc  Com</v>
      </c>
      <c r="B370" s="12" t="str">
        <f>IFERROR(__xludf.DUMMYFUNCTION("""COMPUTED_VALUE"""),"PEPG-US")</f>
        <v>PEPG-US</v>
      </c>
      <c r="C370" s="12"/>
      <c r="D370" s="13">
        <f>IFERROR(__xludf.DUMMYFUNCTION("""COMPUTED_VALUE"""),45414.0)</f>
        <v>45414</v>
      </c>
      <c r="E370" s="13">
        <f>IFERROR(__xludf.DUMMYFUNCTION("""COMPUTED_VALUE"""),45812.0)</f>
        <v>45812</v>
      </c>
      <c r="F370" s="13">
        <f>IFERROR(__xludf.DUMMYFUNCTION("""COMPUTED_VALUE"""),45812.0)</f>
        <v>45812</v>
      </c>
      <c r="G370" s="15" t="s">
        <v>5150</v>
      </c>
      <c r="H370" s="15" t="s">
        <v>5150</v>
      </c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 t="str">
        <f>IFERROR(__xludf.DUMMYFUNCTION("""COMPUTED_VALUE"""),"Century Therapeutics Inc  Com")</f>
        <v>Century Therapeutics Inc  Com</v>
      </c>
      <c r="B371" s="12" t="str">
        <f>IFERROR(__xludf.DUMMYFUNCTION("""COMPUTED_VALUE"""),"IPSC-US")</f>
        <v>IPSC-US</v>
      </c>
      <c r="C371" s="12"/>
      <c r="D371" s="13">
        <f>IFERROR(__xludf.DUMMYFUNCTION("""COMPUTED_VALUE"""),45414.0)</f>
        <v>45414</v>
      </c>
      <c r="E371" s="13">
        <f>IFERROR(__xludf.DUMMYFUNCTION("""COMPUTED_VALUE"""),45820.0)</f>
        <v>45820</v>
      </c>
      <c r="F371" s="13">
        <f>IFERROR(__xludf.DUMMYFUNCTION("""COMPUTED_VALUE"""),45820.0)</f>
        <v>45820</v>
      </c>
      <c r="G371" s="15" t="s">
        <v>5150</v>
      </c>
      <c r="H371" s="15" t="s">
        <v>5150</v>
      </c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 t="str">
        <f>IFERROR(__xludf.DUMMYFUNCTION("""COMPUTED_VALUE"""),"Vertiv Holdings Co  Cl A")</f>
        <v>Vertiv Holdings Co  Cl A</v>
      </c>
      <c r="B372" s="12" t="str">
        <f>IFERROR(__xludf.DUMMYFUNCTION("""COMPUTED_VALUE"""),"VRT-US")</f>
        <v>VRT-US</v>
      </c>
      <c r="C372" s="12"/>
      <c r="D372" s="13">
        <f>IFERROR(__xludf.DUMMYFUNCTION("""COMPUTED_VALUE"""),45414.0)</f>
        <v>45414</v>
      </c>
      <c r="E372" s="13">
        <f>IFERROR(__xludf.DUMMYFUNCTION("""COMPUTED_VALUE"""),45826.0)</f>
        <v>45826</v>
      </c>
      <c r="F372" s="13">
        <f>IFERROR(__xludf.DUMMYFUNCTION("""COMPUTED_VALUE"""),45826.0)</f>
        <v>45826</v>
      </c>
      <c r="G372" s="15" t="s">
        <v>5150</v>
      </c>
      <c r="H372" s="15" t="s">
        <v>5150</v>
      </c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 t="str">
        <f>IFERROR(__xludf.DUMMYFUNCTION("""COMPUTED_VALUE"""),"Medifast Inc  Com")</f>
        <v>Medifast Inc  Com</v>
      </c>
      <c r="B373" s="12" t="str">
        <f>IFERROR(__xludf.DUMMYFUNCTION("""COMPUTED_VALUE"""),"MED-US")</f>
        <v>MED-US</v>
      </c>
      <c r="C373" s="12"/>
      <c r="D373" s="13">
        <f>IFERROR(__xludf.DUMMYFUNCTION("""COMPUTED_VALUE"""),45414.0)</f>
        <v>45414</v>
      </c>
      <c r="E373" s="13">
        <f>IFERROR(__xludf.DUMMYFUNCTION("""COMPUTED_VALUE"""),45826.0)</f>
        <v>45826</v>
      </c>
      <c r="F373" s="13">
        <f>IFERROR(__xludf.DUMMYFUNCTION("""COMPUTED_VALUE"""),45826.0)</f>
        <v>45826</v>
      </c>
      <c r="G373" s="15" t="s">
        <v>5150</v>
      </c>
      <c r="H373" s="15" t="s">
        <v>5150</v>
      </c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 t="str">
        <f>IFERROR(__xludf.DUMMYFUNCTION("""COMPUTED_VALUE"""),"Mastercard Inc  Cl A")</f>
        <v>Mastercard Inc  Cl A</v>
      </c>
      <c r="B374" s="12" t="str">
        <f>IFERROR(__xludf.DUMMYFUNCTION("""COMPUTED_VALUE"""),"MA-US")</f>
        <v>MA-US</v>
      </c>
      <c r="C374" s="12"/>
      <c r="D374" s="13">
        <f>IFERROR(__xludf.DUMMYFUNCTION("""COMPUTED_VALUE"""),45414.0)</f>
        <v>45414</v>
      </c>
      <c r="E374" s="13">
        <f>IFERROR(__xludf.DUMMYFUNCTION("""COMPUTED_VALUE"""),45832.0)</f>
        <v>45832</v>
      </c>
      <c r="F374" s="13">
        <f>IFERROR(__xludf.DUMMYFUNCTION("""COMPUTED_VALUE"""),45832.0)</f>
        <v>45832</v>
      </c>
      <c r="G374" s="15" t="s">
        <v>5150</v>
      </c>
      <c r="H374" s="15" t="s">
        <v>5150</v>
      </c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 t="str">
        <f>IFERROR(__xludf.DUMMYFUNCTION("""COMPUTED_VALUE"""),"Crowdstrike Holdings Inc  Cl A")</f>
        <v>Crowdstrike Holdings Inc  Cl A</v>
      </c>
      <c r="B375" s="12" t="str">
        <f>IFERROR(__xludf.DUMMYFUNCTION("""COMPUTED_VALUE"""),"CRWD-US")</f>
        <v>CRWD-US</v>
      </c>
      <c r="C375" s="12"/>
      <c r="D375" s="13">
        <f>IFERROR(__xludf.DUMMYFUNCTION("""COMPUTED_VALUE"""),45414.0)</f>
        <v>45414</v>
      </c>
      <c r="E375" s="13">
        <f>IFERROR(__xludf.DUMMYFUNCTION("""COMPUTED_VALUE"""),45826.0)</f>
        <v>45826</v>
      </c>
      <c r="F375" s="13">
        <f>IFERROR(__xludf.DUMMYFUNCTION("""COMPUTED_VALUE"""),45826.0)</f>
        <v>45826</v>
      </c>
      <c r="G375" s="15" t="s">
        <v>5150</v>
      </c>
      <c r="H375" s="15" t="s">
        <v>5150</v>
      </c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 t="str">
        <f>IFERROR(__xludf.DUMMYFUNCTION("""COMPUTED_VALUE"""),"Workday Inc  Cl A")</f>
        <v>Workday Inc  Cl A</v>
      </c>
      <c r="B376" s="12" t="str">
        <f>IFERROR(__xludf.DUMMYFUNCTION("""COMPUTED_VALUE"""),"WDAY-US")</f>
        <v>WDAY-US</v>
      </c>
      <c r="C376" s="12"/>
      <c r="D376" s="13">
        <f>IFERROR(__xludf.DUMMYFUNCTION("""COMPUTED_VALUE"""),45414.0)</f>
        <v>45414</v>
      </c>
      <c r="E376" s="13">
        <f>IFERROR(__xludf.DUMMYFUNCTION("""COMPUTED_VALUE"""),45812.0)</f>
        <v>45812</v>
      </c>
      <c r="F376" s="13">
        <f>IFERROR(__xludf.DUMMYFUNCTION("""COMPUTED_VALUE"""),45812.0)</f>
        <v>45812</v>
      </c>
      <c r="G376" s="15" t="s">
        <v>5150</v>
      </c>
      <c r="H376" s="15" t="s">
        <v>5150</v>
      </c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 t="str">
        <f>IFERROR(__xludf.DUMMYFUNCTION("""COMPUTED_VALUE"""),"Metlife Inc  Com")</f>
        <v>Metlife Inc  Com</v>
      </c>
      <c r="B377" s="12" t="str">
        <f>IFERROR(__xludf.DUMMYFUNCTION("""COMPUTED_VALUE"""),"MET-US")</f>
        <v>MET-US</v>
      </c>
      <c r="C377" s="12"/>
      <c r="D377" s="13">
        <f>IFERROR(__xludf.DUMMYFUNCTION("""COMPUTED_VALUE"""),45414.0)</f>
        <v>45414</v>
      </c>
      <c r="E377" s="13">
        <f>IFERROR(__xludf.DUMMYFUNCTION("""COMPUTED_VALUE"""),45825.0)</f>
        <v>45825</v>
      </c>
      <c r="F377" s="13">
        <f>IFERROR(__xludf.DUMMYFUNCTION("""COMPUTED_VALUE"""),45825.0)</f>
        <v>45825</v>
      </c>
      <c r="G377" s="15" t="s">
        <v>5150</v>
      </c>
      <c r="H377" s="15" t="s">
        <v>5150</v>
      </c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 t="str">
        <f>IFERROR(__xludf.DUMMYFUNCTION("""COMPUTED_VALUE"""),"Rivian Automotive Inc  Cl A")</f>
        <v>Rivian Automotive Inc  Cl A</v>
      </c>
      <c r="B378" s="12" t="str">
        <f>IFERROR(__xludf.DUMMYFUNCTION("""COMPUTED_VALUE"""),"RIVN-US")</f>
        <v>RIVN-US</v>
      </c>
      <c r="C378" s="12"/>
      <c r="D378" s="13">
        <f>IFERROR(__xludf.DUMMYFUNCTION("""COMPUTED_VALUE"""),45414.0)</f>
        <v>45414</v>
      </c>
      <c r="E378" s="13">
        <f>IFERROR(__xludf.DUMMYFUNCTION("""COMPUTED_VALUE"""),45826.0)</f>
        <v>45826</v>
      </c>
      <c r="F378" s="13">
        <f>IFERROR(__xludf.DUMMYFUNCTION("""COMPUTED_VALUE"""),45826.0)</f>
        <v>45826</v>
      </c>
      <c r="G378" s="15" t="s">
        <v>5150</v>
      </c>
      <c r="H378" s="15" t="s">
        <v>5150</v>
      </c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 t="str">
        <f>IFERROR(__xludf.DUMMYFUNCTION("""COMPUTED_VALUE"""),"Evercore Inc  Cl A")</f>
        <v>Evercore Inc  Cl A</v>
      </c>
      <c r="B379" s="12" t="str">
        <f>IFERROR(__xludf.DUMMYFUNCTION("""COMPUTED_VALUE"""),"EVR-US")</f>
        <v>EVR-US</v>
      </c>
      <c r="C379" s="12"/>
      <c r="D379" s="13">
        <f>IFERROR(__xludf.DUMMYFUNCTION("""COMPUTED_VALUE"""),45414.0)</f>
        <v>45414</v>
      </c>
      <c r="E379" s="13">
        <f>IFERROR(__xludf.DUMMYFUNCTION("""COMPUTED_VALUE"""),45819.0)</f>
        <v>45819</v>
      </c>
      <c r="F379" s="13">
        <f>IFERROR(__xludf.DUMMYFUNCTION("""COMPUTED_VALUE"""),45819.0)</f>
        <v>45819</v>
      </c>
      <c r="G379" s="15" t="s">
        <v>5150</v>
      </c>
      <c r="H379" s="15" t="s">
        <v>5150</v>
      </c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 t="str">
        <f>IFERROR(__xludf.DUMMYFUNCTION("""COMPUTED_VALUE"""),"Slm Corp  Com")</f>
        <v>Slm Corp  Com</v>
      </c>
      <c r="B380" s="12" t="str">
        <f>IFERROR(__xludf.DUMMYFUNCTION("""COMPUTED_VALUE"""),"SLM-US")</f>
        <v>SLM-US</v>
      </c>
      <c r="C380" s="12"/>
      <c r="D380" s="13">
        <f>IFERROR(__xludf.DUMMYFUNCTION("""COMPUTED_VALUE"""),45415.0)</f>
        <v>45415</v>
      </c>
      <c r="E380" s="13">
        <f>IFERROR(__xludf.DUMMYFUNCTION("""COMPUTED_VALUE"""),45825.0)</f>
        <v>45825</v>
      </c>
      <c r="F380" s="13">
        <f>IFERROR(__xludf.DUMMYFUNCTION("""COMPUTED_VALUE"""),45825.0)</f>
        <v>45825</v>
      </c>
      <c r="G380" s="15" t="s">
        <v>5150</v>
      </c>
      <c r="H380" s="15" t="s">
        <v>5150</v>
      </c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 t="str">
        <f>IFERROR(__xludf.DUMMYFUNCTION("""COMPUTED_VALUE"""),"Nexstar Media Group Inc  Cl A")</f>
        <v>Nexstar Media Group Inc  Cl A</v>
      </c>
      <c r="B381" s="12" t="str">
        <f>IFERROR(__xludf.DUMMYFUNCTION("""COMPUTED_VALUE"""),"NXST-US")</f>
        <v>NXST-US</v>
      </c>
      <c r="C381" s="12"/>
      <c r="D381" s="13">
        <f>IFERROR(__xludf.DUMMYFUNCTION("""COMPUTED_VALUE"""),45415.0)</f>
        <v>45415</v>
      </c>
      <c r="E381" s="13">
        <f>IFERROR(__xludf.DUMMYFUNCTION("""COMPUTED_VALUE"""),45825.0)</f>
        <v>45825</v>
      </c>
      <c r="F381" s="13">
        <f>IFERROR(__xludf.DUMMYFUNCTION("""COMPUTED_VALUE"""),45825.0)</f>
        <v>45825</v>
      </c>
      <c r="G381" s="15" t="s">
        <v>5150</v>
      </c>
      <c r="H381" s="15" t="s">
        <v>5150</v>
      </c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 t="str">
        <f>IFERROR(__xludf.DUMMYFUNCTION("""COMPUTED_VALUE"""),"Brookfield Infrastru  Exch Sub Vtg A")</f>
        <v>Brookfield Infrastru  Exch Sub Vtg A</v>
      </c>
      <c r="B382" s="12" t="str">
        <f>IFERROR(__xludf.DUMMYFUNCTION("""COMPUTED_VALUE"""),"BIPC-CA")</f>
        <v>BIPC-CA</v>
      </c>
      <c r="C382" s="12"/>
      <c r="D382" s="13">
        <f>IFERROR(__xludf.DUMMYFUNCTION("""COMPUTED_VALUE"""),45415.0)</f>
        <v>45415</v>
      </c>
      <c r="E382" s="13">
        <f>IFERROR(__xludf.DUMMYFUNCTION("""COMPUTED_VALUE"""),45832.0)</f>
        <v>45832</v>
      </c>
      <c r="F382" s="13">
        <f>IFERROR(__xludf.DUMMYFUNCTION("""COMPUTED_VALUE"""),45832.0)</f>
        <v>45832</v>
      </c>
      <c r="G382" s="16" t="s">
        <v>5152</v>
      </c>
      <c r="H382" s="16" t="s">
        <v>5152</v>
      </c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 t="str">
        <f>IFERROR(__xludf.DUMMYFUNCTION("""COMPUTED_VALUE"""),"Pegasystems Inc  Com")</f>
        <v>Pegasystems Inc  Com</v>
      </c>
      <c r="B383" s="12" t="str">
        <f>IFERROR(__xludf.DUMMYFUNCTION("""COMPUTED_VALUE"""),"PEGA-US")</f>
        <v>PEGA-US</v>
      </c>
      <c r="C383" s="12"/>
      <c r="D383" s="13">
        <f>IFERROR(__xludf.DUMMYFUNCTION("""COMPUTED_VALUE"""),45415.0)</f>
        <v>45415</v>
      </c>
      <c r="E383" s="13">
        <f>IFERROR(__xludf.DUMMYFUNCTION("""COMPUTED_VALUE"""),45825.0)</f>
        <v>45825</v>
      </c>
      <c r="F383" s="13">
        <f>IFERROR(__xludf.DUMMYFUNCTION("""COMPUTED_VALUE"""),45825.0)</f>
        <v>45825</v>
      </c>
      <c r="G383" s="15" t="s">
        <v>5150</v>
      </c>
      <c r="H383" s="15" t="s">
        <v>5150</v>
      </c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 t="str">
        <f>IFERROR(__xludf.DUMMYFUNCTION("""COMPUTED_VALUE"""),"Ultragenyx Pharmaceutical Inc  Com")</f>
        <v>Ultragenyx Pharmaceutical Inc  Com</v>
      </c>
      <c r="B384" s="12" t="str">
        <f>IFERROR(__xludf.DUMMYFUNCTION("""COMPUTED_VALUE"""),"RARE-US")</f>
        <v>RARE-US</v>
      </c>
      <c r="C384" s="12"/>
      <c r="D384" s="13">
        <f>IFERROR(__xludf.DUMMYFUNCTION("""COMPUTED_VALUE"""),45415.0)</f>
        <v>45415</v>
      </c>
      <c r="E384" s="13">
        <f>IFERROR(__xludf.DUMMYFUNCTION("""COMPUTED_VALUE"""),45792.0)</f>
        <v>45792</v>
      </c>
      <c r="F384" s="13">
        <f>IFERROR(__xludf.DUMMYFUNCTION("""COMPUTED_VALUE"""),45792.0)</f>
        <v>45792</v>
      </c>
      <c r="G384" s="15" t="s">
        <v>5150</v>
      </c>
      <c r="H384" s="15" t="s">
        <v>5150</v>
      </c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 t="str">
        <f>IFERROR(__xludf.DUMMYFUNCTION("""COMPUTED_VALUE"""),"Rigetti Computing Inc  Com")</f>
        <v>Rigetti Computing Inc  Com</v>
      </c>
      <c r="B385" s="12" t="str">
        <f>IFERROR(__xludf.DUMMYFUNCTION("""COMPUTED_VALUE"""),"RGTI-US")</f>
        <v>RGTI-US</v>
      </c>
      <c r="C385" s="12"/>
      <c r="D385" s="13">
        <f>IFERROR(__xludf.DUMMYFUNCTION("""COMPUTED_VALUE"""),45415.0)</f>
        <v>45415</v>
      </c>
      <c r="E385" s="13">
        <f>IFERROR(__xludf.DUMMYFUNCTION("""COMPUTED_VALUE"""),45818.0)</f>
        <v>45818</v>
      </c>
      <c r="F385" s="13">
        <f>IFERROR(__xludf.DUMMYFUNCTION("""COMPUTED_VALUE"""),45818.0)</f>
        <v>45818</v>
      </c>
      <c r="G385" s="15" t="s">
        <v>5150</v>
      </c>
      <c r="H385" s="15" t="s">
        <v>5150</v>
      </c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 t="str">
        <f>IFERROR(__xludf.DUMMYFUNCTION("""COMPUTED_VALUE"""),"Ptc Therapeutics Inc  Com")</f>
        <v>Ptc Therapeutics Inc  Com</v>
      </c>
      <c r="B386" s="12" t="str">
        <f>IFERROR(__xludf.DUMMYFUNCTION("""COMPUTED_VALUE"""),"PTCT-US")</f>
        <v>PTCT-US</v>
      </c>
      <c r="C386" s="12"/>
      <c r="D386" s="13">
        <f>IFERROR(__xludf.DUMMYFUNCTION("""COMPUTED_VALUE"""),45415.0)</f>
        <v>45415</v>
      </c>
      <c r="E386" s="13">
        <f>IFERROR(__xludf.DUMMYFUNCTION("""COMPUTED_VALUE"""),45825.0)</f>
        <v>45825</v>
      </c>
      <c r="F386" s="13">
        <f>IFERROR(__xludf.DUMMYFUNCTION("""COMPUTED_VALUE"""),45825.0)</f>
        <v>45825</v>
      </c>
      <c r="G386" s="15" t="s">
        <v>5150</v>
      </c>
      <c r="H386" s="15" t="s">
        <v>5150</v>
      </c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 t="str">
        <f>IFERROR(__xludf.DUMMYFUNCTION("""COMPUTED_VALUE"""),"Zeta Global Holdings Corp  Cl A")</f>
        <v>Zeta Global Holdings Corp  Cl A</v>
      </c>
      <c r="B387" s="12" t="str">
        <f>IFERROR(__xludf.DUMMYFUNCTION("""COMPUTED_VALUE"""),"ZETA-US")</f>
        <v>ZETA-US</v>
      </c>
      <c r="C387" s="12"/>
      <c r="D387" s="13">
        <f>IFERROR(__xludf.DUMMYFUNCTION("""COMPUTED_VALUE"""),45415.0)</f>
        <v>45415</v>
      </c>
      <c r="E387" s="13">
        <f>IFERROR(__xludf.DUMMYFUNCTION("""COMPUTED_VALUE"""),45817.0)</f>
        <v>45817</v>
      </c>
      <c r="F387" s="13">
        <f>IFERROR(__xludf.DUMMYFUNCTION("""COMPUTED_VALUE"""),45817.0)</f>
        <v>45817</v>
      </c>
      <c r="G387" s="15" t="s">
        <v>5150</v>
      </c>
      <c r="H387" s="15" t="s">
        <v>5150</v>
      </c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 t="str">
        <f>IFERROR(__xludf.DUMMYFUNCTION("""COMPUTED_VALUE"""),"Rhythm Pharmaceuticals Inc  Com")</f>
        <v>Rhythm Pharmaceuticals Inc  Com</v>
      </c>
      <c r="B388" s="12" t="str">
        <f>IFERROR(__xludf.DUMMYFUNCTION("""COMPUTED_VALUE"""),"RYTM-US")</f>
        <v>RYTM-US</v>
      </c>
      <c r="C388" s="12"/>
      <c r="D388" s="13">
        <f>IFERROR(__xludf.DUMMYFUNCTION("""COMPUTED_VALUE"""),45415.0)</f>
        <v>45415</v>
      </c>
      <c r="E388" s="13">
        <f>IFERROR(__xludf.DUMMYFUNCTION("""COMPUTED_VALUE"""),45832.0)</f>
        <v>45832</v>
      </c>
      <c r="F388" s="13">
        <f>IFERROR(__xludf.DUMMYFUNCTION("""COMPUTED_VALUE"""),45832.0)</f>
        <v>45832</v>
      </c>
      <c r="G388" s="15" t="s">
        <v>5150</v>
      </c>
      <c r="H388" s="15" t="s">
        <v>5150</v>
      </c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 t="str">
        <f>IFERROR(__xludf.DUMMYFUNCTION("""COMPUTED_VALUE"""),"Ipg Photonics Corp  Com")</f>
        <v>Ipg Photonics Corp  Com</v>
      </c>
      <c r="B389" s="12" t="str">
        <f>IFERROR(__xludf.DUMMYFUNCTION("""COMPUTED_VALUE"""),"IPGP-US")</f>
        <v>IPGP-US</v>
      </c>
      <c r="C389" s="12"/>
      <c r="D389" s="13">
        <f>IFERROR(__xludf.DUMMYFUNCTION("""COMPUTED_VALUE"""),45415.0)</f>
        <v>45415</v>
      </c>
      <c r="E389" s="13">
        <f>IFERROR(__xludf.DUMMYFUNCTION("""COMPUTED_VALUE"""),45797.0)</f>
        <v>45797</v>
      </c>
      <c r="F389" s="13">
        <f>IFERROR(__xludf.DUMMYFUNCTION("""COMPUTED_VALUE"""),45797.0)</f>
        <v>45797</v>
      </c>
      <c r="G389" s="15" t="s">
        <v>5150</v>
      </c>
      <c r="H389" s="15" t="s">
        <v>5150</v>
      </c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 t="str">
        <f>IFERROR(__xludf.DUMMYFUNCTION("""COMPUTED_VALUE"""),"Sunrun Inc  Com")</f>
        <v>Sunrun Inc  Com</v>
      </c>
      <c r="B390" s="12" t="str">
        <f>IFERROR(__xludf.DUMMYFUNCTION("""COMPUTED_VALUE"""),"RUN-US")</f>
        <v>RUN-US</v>
      </c>
      <c r="C390" s="12"/>
      <c r="D390" s="13">
        <f>IFERROR(__xludf.DUMMYFUNCTION("""COMPUTED_VALUE"""),45415.0)</f>
        <v>45415</v>
      </c>
      <c r="E390" s="13">
        <f>IFERROR(__xludf.DUMMYFUNCTION("""COMPUTED_VALUE"""),45819.0)</f>
        <v>45819</v>
      </c>
      <c r="F390" s="13">
        <f>IFERROR(__xludf.DUMMYFUNCTION("""COMPUTED_VALUE"""),45819.0)</f>
        <v>45819</v>
      </c>
      <c r="G390" s="15" t="s">
        <v>5150</v>
      </c>
      <c r="H390" s="15" t="s">
        <v>5150</v>
      </c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 t="str">
        <f>IFERROR(__xludf.DUMMYFUNCTION("""COMPUTED_VALUE"""),"Kymera Therapeutics Inc  Com")</f>
        <v>Kymera Therapeutics Inc  Com</v>
      </c>
      <c r="B391" s="12" t="str">
        <f>IFERROR(__xludf.DUMMYFUNCTION("""COMPUTED_VALUE"""),"KYMR-US")</f>
        <v>KYMR-US</v>
      </c>
      <c r="C391" s="12"/>
      <c r="D391" s="13">
        <f>IFERROR(__xludf.DUMMYFUNCTION("""COMPUTED_VALUE"""),45415.0)</f>
        <v>45415</v>
      </c>
      <c r="E391" s="13">
        <f>IFERROR(__xludf.DUMMYFUNCTION("""COMPUTED_VALUE"""),45833.0)</f>
        <v>45833</v>
      </c>
      <c r="F391" s="13">
        <f>IFERROR(__xludf.DUMMYFUNCTION("""COMPUTED_VALUE"""),45833.0)</f>
        <v>45833</v>
      </c>
      <c r="G391" s="15" t="s">
        <v>5150</v>
      </c>
      <c r="H391" s="15" t="s">
        <v>5150</v>
      </c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 t="str">
        <f>IFERROR(__xludf.DUMMYFUNCTION("""COMPUTED_VALUE"""),"Fubotv Inc  Com")</f>
        <v>Fubotv Inc  Com</v>
      </c>
      <c r="B392" s="12" t="str">
        <f>IFERROR(__xludf.DUMMYFUNCTION("""COMPUTED_VALUE"""),"FUBO-US")</f>
        <v>FUBO-US</v>
      </c>
      <c r="C392" s="12"/>
      <c r="D392" s="13">
        <f>IFERROR(__xludf.DUMMYFUNCTION("""COMPUTED_VALUE"""),45415.0)</f>
        <v>45415</v>
      </c>
      <c r="E392" s="13">
        <f>IFERROR(__xludf.DUMMYFUNCTION("""COMPUTED_VALUE"""),45825.0)</f>
        <v>45825</v>
      </c>
      <c r="F392" s="13">
        <f>IFERROR(__xludf.DUMMYFUNCTION("""COMPUTED_VALUE"""),45825.0)</f>
        <v>45825</v>
      </c>
      <c r="G392" s="15" t="s">
        <v>5150</v>
      </c>
      <c r="H392" s="15" t="s">
        <v>5150</v>
      </c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 t="str">
        <f>IFERROR(__xludf.DUMMYFUNCTION("""COMPUTED_VALUE"""),"Rocket Cos Inc  Cl A")</f>
        <v>Rocket Cos Inc  Cl A</v>
      </c>
      <c r="B393" s="12" t="str">
        <f>IFERROR(__xludf.DUMMYFUNCTION("""COMPUTED_VALUE"""),"RKT-US")</f>
        <v>RKT-US</v>
      </c>
      <c r="C393" s="12"/>
      <c r="D393" s="13">
        <f>IFERROR(__xludf.DUMMYFUNCTION("""COMPUTED_VALUE"""),45415.0)</f>
        <v>45415</v>
      </c>
      <c r="E393" s="13">
        <f>IFERROR(__xludf.DUMMYFUNCTION("""COMPUTED_VALUE"""),45819.0)</f>
        <v>45819</v>
      </c>
      <c r="F393" s="13">
        <f>IFERROR(__xludf.DUMMYFUNCTION("""COMPUTED_VALUE"""),45819.0)</f>
        <v>45819</v>
      </c>
      <c r="G393" s="15" t="s">
        <v>5150</v>
      </c>
      <c r="H393" s="15" t="s">
        <v>5150</v>
      </c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 t="str">
        <f>IFERROR(__xludf.DUMMYFUNCTION("""COMPUTED_VALUE"""),"Xometry Inc  Cl A")</f>
        <v>Xometry Inc  Cl A</v>
      </c>
      <c r="B394" s="12" t="str">
        <f>IFERROR(__xludf.DUMMYFUNCTION("""COMPUTED_VALUE"""),"XMTR-US")</f>
        <v>XMTR-US</v>
      </c>
      <c r="C394" s="12"/>
      <c r="D394" s="13">
        <f>IFERROR(__xludf.DUMMYFUNCTION("""COMPUTED_VALUE"""),45415.0)</f>
        <v>45415</v>
      </c>
      <c r="E394" s="13">
        <f>IFERROR(__xludf.DUMMYFUNCTION("""COMPUTED_VALUE"""),45826.0)</f>
        <v>45826</v>
      </c>
      <c r="F394" s="13">
        <f>IFERROR(__xludf.DUMMYFUNCTION("""COMPUTED_VALUE"""),45826.0)</f>
        <v>45826</v>
      </c>
      <c r="G394" s="15" t="s">
        <v>5150</v>
      </c>
      <c r="H394" s="15" t="s">
        <v>5150</v>
      </c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 t="str">
        <f>IFERROR(__xludf.DUMMYFUNCTION("""COMPUTED_VALUE"""),"G Iii Apparel Group Ltd  Com")</f>
        <v>G Iii Apparel Group Ltd  Com</v>
      </c>
      <c r="B395" s="12" t="str">
        <f>IFERROR(__xludf.DUMMYFUNCTION("""COMPUTED_VALUE"""),"GIII-US")</f>
        <v>GIII-US</v>
      </c>
      <c r="C395" s="12"/>
      <c r="D395" s="13">
        <f>IFERROR(__xludf.DUMMYFUNCTION("""COMPUTED_VALUE"""),45415.0)</f>
        <v>45415</v>
      </c>
      <c r="E395" s="13">
        <f>IFERROR(__xludf.DUMMYFUNCTION("""COMPUTED_VALUE"""),45820.0)</f>
        <v>45820</v>
      </c>
      <c r="F395" s="13">
        <f>IFERROR(__xludf.DUMMYFUNCTION("""COMPUTED_VALUE"""),45820.0)</f>
        <v>45820</v>
      </c>
      <c r="G395" s="16" t="s">
        <v>5151</v>
      </c>
      <c r="H395" s="16" t="s">
        <v>5151</v>
      </c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 t="str">
        <f>IFERROR(__xludf.DUMMYFUNCTION("""COMPUTED_VALUE"""),"Schrodinger Inc  Com")</f>
        <v>Schrodinger Inc  Com</v>
      </c>
      <c r="B396" s="12" t="str">
        <f>IFERROR(__xludf.DUMMYFUNCTION("""COMPUTED_VALUE"""),"SDGR-US")</f>
        <v>SDGR-US</v>
      </c>
      <c r="C396" s="12"/>
      <c r="D396" s="13">
        <f>IFERROR(__xludf.DUMMYFUNCTION("""COMPUTED_VALUE"""),45415.0)</f>
        <v>45415</v>
      </c>
      <c r="E396" s="13">
        <f>IFERROR(__xludf.DUMMYFUNCTION("""COMPUTED_VALUE"""),45826.0)</f>
        <v>45826</v>
      </c>
      <c r="F396" s="13">
        <f>IFERROR(__xludf.DUMMYFUNCTION("""COMPUTED_VALUE"""),45826.0)</f>
        <v>45826</v>
      </c>
      <c r="G396" s="15" t="s">
        <v>5150</v>
      </c>
      <c r="H396" s="15" t="s">
        <v>5150</v>
      </c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 t="str">
        <f>IFERROR(__xludf.DUMMYFUNCTION("""COMPUTED_VALUE"""),"Enliven Therapeutics Inc  Com")</f>
        <v>Enliven Therapeutics Inc  Com</v>
      </c>
      <c r="B397" s="12" t="str">
        <f>IFERROR(__xludf.DUMMYFUNCTION("""COMPUTED_VALUE"""),"ELVN-US")</f>
        <v>ELVN-US</v>
      </c>
      <c r="C397" s="12"/>
      <c r="D397" s="13">
        <f>IFERROR(__xludf.DUMMYFUNCTION("""COMPUTED_VALUE"""),45415.0)</f>
        <v>45415</v>
      </c>
      <c r="E397" s="13">
        <f>IFERROR(__xludf.DUMMYFUNCTION("""COMPUTED_VALUE"""),45832.0)</f>
        <v>45832</v>
      </c>
      <c r="F397" s="13">
        <f>IFERROR(__xludf.DUMMYFUNCTION("""COMPUTED_VALUE"""),45832.0)</f>
        <v>45832</v>
      </c>
      <c r="G397" s="15" t="s">
        <v>5150</v>
      </c>
      <c r="H397" s="15" t="s">
        <v>5150</v>
      </c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 t="str">
        <f>IFERROR(__xludf.DUMMYFUNCTION("""COMPUTED_VALUE"""),"Anavex Life Sciences Corp  Com")</f>
        <v>Anavex Life Sciences Corp  Com</v>
      </c>
      <c r="B398" s="12" t="str">
        <f>IFERROR(__xludf.DUMMYFUNCTION("""COMPUTED_VALUE"""),"AVXL-US")</f>
        <v>AVXL-US</v>
      </c>
      <c r="C398" s="12"/>
      <c r="D398" s="13">
        <f>IFERROR(__xludf.DUMMYFUNCTION("""COMPUTED_VALUE"""),45415.0)</f>
        <v>45415</v>
      </c>
      <c r="E398" s="13">
        <f>IFERROR(__xludf.DUMMYFUNCTION("""COMPUTED_VALUE"""),45818.0)</f>
        <v>45818</v>
      </c>
      <c r="F398" s="13">
        <f>IFERROR(__xludf.DUMMYFUNCTION("""COMPUTED_VALUE"""),45818.0)</f>
        <v>45818</v>
      </c>
      <c r="G398" s="15" t="s">
        <v>5150</v>
      </c>
      <c r="H398" s="15" t="s">
        <v>5150</v>
      </c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 t="str">
        <f>IFERROR(__xludf.DUMMYFUNCTION("""COMPUTED_VALUE"""),"Brookdale Senior Living Inc  Com")</f>
        <v>Brookdale Senior Living Inc  Com</v>
      </c>
      <c r="B399" s="12" t="str">
        <f>IFERROR(__xludf.DUMMYFUNCTION("""COMPUTED_VALUE"""),"BKD-US")</f>
        <v>BKD-US</v>
      </c>
      <c r="C399" s="12"/>
      <c r="D399" s="13">
        <f>IFERROR(__xludf.DUMMYFUNCTION("""COMPUTED_VALUE"""),45415.0)</f>
        <v>45415</v>
      </c>
      <c r="E399" s="13">
        <f>IFERROR(__xludf.DUMMYFUNCTION("""COMPUTED_VALUE"""),45849.0)</f>
        <v>45849</v>
      </c>
      <c r="F399" s="13">
        <f>IFERROR(__xludf.DUMMYFUNCTION("""COMPUTED_VALUE"""),45849.0)</f>
        <v>45849</v>
      </c>
      <c r="G399" s="15" t="s">
        <v>5150</v>
      </c>
      <c r="H399" s="15" t="s">
        <v>5150</v>
      </c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 t="str">
        <f>IFERROR(__xludf.DUMMYFUNCTION("""COMPUTED_VALUE"""),"Bjs Restaurants Inc  Com")</f>
        <v>Bjs Restaurants Inc  Com</v>
      </c>
      <c r="B400" s="12" t="str">
        <f>IFERROR(__xludf.DUMMYFUNCTION("""COMPUTED_VALUE"""),"BJRI-US")</f>
        <v>BJRI-US</v>
      </c>
      <c r="C400" s="12"/>
      <c r="D400" s="13">
        <f>IFERROR(__xludf.DUMMYFUNCTION("""COMPUTED_VALUE"""),45415.0)</f>
        <v>45415</v>
      </c>
      <c r="E400" s="13">
        <f>IFERROR(__xludf.DUMMYFUNCTION("""COMPUTED_VALUE"""),45820.0)</f>
        <v>45820</v>
      </c>
      <c r="F400" s="13">
        <f>IFERROR(__xludf.DUMMYFUNCTION("""COMPUTED_VALUE"""),45820.0)</f>
        <v>45820</v>
      </c>
      <c r="G400" s="16" t="s">
        <v>5151</v>
      </c>
      <c r="H400" s="16" t="s">
        <v>5151</v>
      </c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 t="str">
        <f>IFERROR(__xludf.DUMMYFUNCTION("""COMPUTED_VALUE"""),"Pdf Solutions Inc  Com")</f>
        <v>Pdf Solutions Inc  Com</v>
      </c>
      <c r="B401" s="12" t="str">
        <f>IFERROR(__xludf.DUMMYFUNCTION("""COMPUTED_VALUE"""),"PDFS-US")</f>
        <v>PDFS-US</v>
      </c>
      <c r="C401" s="12"/>
      <c r="D401" s="13">
        <f>IFERROR(__xludf.DUMMYFUNCTION("""COMPUTED_VALUE"""),45415.0)</f>
        <v>45415</v>
      </c>
      <c r="E401" s="13">
        <f>IFERROR(__xludf.DUMMYFUNCTION("""COMPUTED_VALUE"""),45825.0)</f>
        <v>45825</v>
      </c>
      <c r="F401" s="13">
        <f>IFERROR(__xludf.DUMMYFUNCTION("""COMPUTED_VALUE"""),45825.0)</f>
        <v>45825</v>
      </c>
      <c r="G401" s="15" t="s">
        <v>5150</v>
      </c>
      <c r="H401" s="15" t="s">
        <v>5150</v>
      </c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 t="str">
        <f>IFERROR(__xludf.DUMMYFUNCTION("""COMPUTED_VALUE"""),"Krispy Kreme Inc  Com")</f>
        <v>Krispy Kreme Inc  Com</v>
      </c>
      <c r="B402" s="12" t="str">
        <f>IFERROR(__xludf.DUMMYFUNCTION("""COMPUTED_VALUE"""),"DNUT-US")</f>
        <v>DNUT-US</v>
      </c>
      <c r="C402" s="12"/>
      <c r="D402" s="13">
        <f>IFERROR(__xludf.DUMMYFUNCTION("""COMPUTED_VALUE"""),45415.0)</f>
        <v>45415</v>
      </c>
      <c r="E402" s="13">
        <f>IFERROR(__xludf.DUMMYFUNCTION("""COMPUTED_VALUE"""),45825.0)</f>
        <v>45825</v>
      </c>
      <c r="F402" s="13">
        <f>IFERROR(__xludf.DUMMYFUNCTION("""COMPUTED_VALUE"""),45825.0)</f>
        <v>45825</v>
      </c>
      <c r="G402" s="15" t="s">
        <v>5150</v>
      </c>
      <c r="H402" s="15" t="s">
        <v>5150</v>
      </c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 t="str">
        <f>IFERROR(__xludf.DUMMYFUNCTION("""COMPUTED_VALUE"""),"Ironwood Pharmaceuticals Inc  Cl A")</f>
        <v>Ironwood Pharmaceuticals Inc  Cl A</v>
      </c>
      <c r="B403" s="12" t="str">
        <f>IFERROR(__xludf.DUMMYFUNCTION("""COMPUTED_VALUE"""),"IRWD-US")</f>
        <v>IRWD-US</v>
      </c>
      <c r="C403" s="12"/>
      <c r="D403" s="13">
        <f>IFERROR(__xludf.DUMMYFUNCTION("""COMPUTED_VALUE"""),45416.0)</f>
        <v>45416</v>
      </c>
      <c r="E403" s="13">
        <f>IFERROR(__xludf.DUMMYFUNCTION("""COMPUTED_VALUE"""),45818.0)</f>
        <v>45818</v>
      </c>
      <c r="F403" s="13">
        <f>IFERROR(__xludf.DUMMYFUNCTION("""COMPUTED_VALUE"""),45818.0)</f>
        <v>45818</v>
      </c>
      <c r="G403" s="16" t="s">
        <v>5152</v>
      </c>
      <c r="H403" s="16" t="s">
        <v>5152</v>
      </c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 t="str">
        <f>IFERROR(__xludf.DUMMYFUNCTION("""COMPUTED_VALUE"""),"Baycom Corp  Com")</f>
        <v>Baycom Corp  Com</v>
      </c>
      <c r="B404" s="12" t="str">
        <f>IFERROR(__xludf.DUMMYFUNCTION("""COMPUTED_VALUE"""),"BCML-US")</f>
        <v>BCML-US</v>
      </c>
      <c r="C404" s="12"/>
      <c r="D404" s="13">
        <f>IFERROR(__xludf.DUMMYFUNCTION("""COMPUTED_VALUE"""),45416.0)</f>
        <v>45416</v>
      </c>
      <c r="E404" s="13">
        <f>IFERROR(__xludf.DUMMYFUNCTION("""COMPUTED_VALUE"""),45825.0)</f>
        <v>45825</v>
      </c>
      <c r="F404" s="13">
        <f>IFERROR(__xludf.DUMMYFUNCTION("""COMPUTED_VALUE"""),45825.0)</f>
        <v>45825</v>
      </c>
      <c r="G404" s="15" t="s">
        <v>5150</v>
      </c>
      <c r="H404" s="15" t="s">
        <v>5150</v>
      </c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 t="str">
        <f>IFERROR(__xludf.DUMMYFUNCTION("""COMPUTED_VALUE"""),"Orthofix Medical Inc  Com")</f>
        <v>Orthofix Medical Inc  Com</v>
      </c>
      <c r="B405" s="12" t="str">
        <f>IFERROR(__xludf.DUMMYFUNCTION("""COMPUTED_VALUE"""),"OFIX-US")</f>
        <v>OFIX-US</v>
      </c>
      <c r="C405" s="12"/>
      <c r="D405" s="13">
        <f>IFERROR(__xludf.DUMMYFUNCTION("""COMPUTED_VALUE"""),45418.0)</f>
        <v>45418</v>
      </c>
      <c r="E405" s="13">
        <f>IFERROR(__xludf.DUMMYFUNCTION("""COMPUTED_VALUE"""),45826.0)</f>
        <v>45826</v>
      </c>
      <c r="F405" s="13">
        <f>IFERROR(__xludf.DUMMYFUNCTION("""COMPUTED_VALUE"""),45826.0)</f>
        <v>45826</v>
      </c>
      <c r="G405" s="15" t="s">
        <v>5150</v>
      </c>
      <c r="H405" s="15" t="s">
        <v>5150</v>
      </c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 t="str">
        <f>IFERROR(__xludf.DUMMYFUNCTION("""COMPUTED_VALUE"""),"Pacific Biosciences Of Ca Inc  Com")</f>
        <v>Pacific Biosciences Of Ca Inc  Com</v>
      </c>
      <c r="B406" s="12" t="str">
        <f>IFERROR(__xludf.DUMMYFUNCTION("""COMPUTED_VALUE"""),"PACB-US")</f>
        <v>PACB-US</v>
      </c>
      <c r="C406" s="12"/>
      <c r="D406" s="13">
        <f>IFERROR(__xludf.DUMMYFUNCTION("""COMPUTED_VALUE"""),45418.0)</f>
        <v>45418</v>
      </c>
      <c r="E406" s="13">
        <f>IFERROR(__xludf.DUMMYFUNCTION("""COMPUTED_VALUE"""),45812.0)</f>
        <v>45812</v>
      </c>
      <c r="F406" s="13">
        <f>IFERROR(__xludf.DUMMYFUNCTION("""COMPUTED_VALUE"""),45812.0)</f>
        <v>45812</v>
      </c>
      <c r="G406" s="15" t="s">
        <v>5150</v>
      </c>
      <c r="H406" s="15" t="s">
        <v>5150</v>
      </c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 t="str">
        <f>IFERROR(__xludf.DUMMYFUNCTION("""COMPUTED_VALUE"""),"John Marshall Bancorp Inc  Com")</f>
        <v>John Marshall Bancorp Inc  Com</v>
      </c>
      <c r="B407" s="12" t="str">
        <f>IFERROR(__xludf.DUMMYFUNCTION("""COMPUTED_VALUE"""),"JMSB-US")</f>
        <v>JMSB-US</v>
      </c>
      <c r="C407" s="12"/>
      <c r="D407" s="13">
        <f>IFERROR(__xludf.DUMMYFUNCTION("""COMPUTED_VALUE"""),45418.0)</f>
        <v>45418</v>
      </c>
      <c r="E407" s="13">
        <f>IFERROR(__xludf.DUMMYFUNCTION("""COMPUTED_VALUE"""),45825.0)</f>
        <v>45825</v>
      </c>
      <c r="F407" s="13">
        <f>IFERROR(__xludf.DUMMYFUNCTION("""COMPUTED_VALUE"""),45825.0)</f>
        <v>45825</v>
      </c>
      <c r="G407" s="15" t="s">
        <v>5150</v>
      </c>
      <c r="H407" s="15" t="s">
        <v>5150</v>
      </c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 t="str">
        <f>IFERROR(__xludf.DUMMYFUNCTION("""COMPUTED_VALUE"""),"Performant Healthcare Inc  Com")</f>
        <v>Performant Healthcare Inc  Com</v>
      </c>
      <c r="B408" s="12" t="str">
        <f>IFERROR(__xludf.DUMMYFUNCTION("""COMPUTED_VALUE"""),"PHLT-US")</f>
        <v>PHLT-US</v>
      </c>
      <c r="C408" s="12"/>
      <c r="D408" s="13">
        <f>IFERROR(__xludf.DUMMYFUNCTION("""COMPUTED_VALUE"""),45418.0)</f>
        <v>45418</v>
      </c>
      <c r="E408" s="13">
        <f>IFERROR(__xludf.DUMMYFUNCTION("""COMPUTED_VALUE"""),45826.0)</f>
        <v>45826</v>
      </c>
      <c r="F408" s="13">
        <f>IFERROR(__xludf.DUMMYFUNCTION("""COMPUTED_VALUE"""),45826.0)</f>
        <v>45826</v>
      </c>
      <c r="G408" s="15" t="s">
        <v>5150</v>
      </c>
      <c r="H408" s="16" t="s">
        <v>5152</v>
      </c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 t="str">
        <f>IFERROR(__xludf.DUMMYFUNCTION("""COMPUTED_VALUE"""),"Docgo Inc  Cl A")</f>
        <v>Docgo Inc  Cl A</v>
      </c>
      <c r="B409" s="12" t="str">
        <f>IFERROR(__xludf.DUMMYFUNCTION("""COMPUTED_VALUE"""),"DCGO-US")</f>
        <v>DCGO-US</v>
      </c>
      <c r="C409" s="12"/>
      <c r="D409" s="13">
        <f>IFERROR(__xludf.DUMMYFUNCTION("""COMPUTED_VALUE"""),45418.0)</f>
        <v>45418</v>
      </c>
      <c r="E409" s="13">
        <f>IFERROR(__xludf.DUMMYFUNCTION("""COMPUTED_VALUE"""),45825.0)</f>
        <v>45825</v>
      </c>
      <c r="F409" s="13">
        <f>IFERROR(__xludf.DUMMYFUNCTION("""COMPUTED_VALUE"""),45825.0)</f>
        <v>45825</v>
      </c>
      <c r="G409" s="15" t="s">
        <v>5150</v>
      </c>
      <c r="H409" s="15" t="s">
        <v>5150</v>
      </c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 t="str">
        <f>IFERROR(__xludf.DUMMYFUNCTION("""COMPUTED_VALUE"""),"Nextdoor Holdings Inc  Cl A")</f>
        <v>Nextdoor Holdings Inc  Cl A</v>
      </c>
      <c r="B410" s="12" t="str">
        <f>IFERROR(__xludf.DUMMYFUNCTION("""COMPUTED_VALUE"""),"KIND-US")</f>
        <v>KIND-US</v>
      </c>
      <c r="C410" s="12"/>
      <c r="D410" s="13">
        <f>IFERROR(__xludf.DUMMYFUNCTION("""COMPUTED_VALUE"""),45418.0)</f>
        <v>45418</v>
      </c>
      <c r="E410" s="13">
        <f>IFERROR(__xludf.DUMMYFUNCTION("""COMPUTED_VALUE"""),45818.0)</f>
        <v>45818</v>
      </c>
      <c r="F410" s="13">
        <f>IFERROR(__xludf.DUMMYFUNCTION("""COMPUTED_VALUE"""),45818.0)</f>
        <v>45818</v>
      </c>
      <c r="G410" s="15" t="s">
        <v>5150</v>
      </c>
      <c r="H410" s="15" t="s">
        <v>5150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 t="str">
        <f>IFERROR(__xludf.DUMMYFUNCTION("""COMPUTED_VALUE"""),"Peakstone Realty Trust  Com")</f>
        <v>Peakstone Realty Trust  Com</v>
      </c>
      <c r="B411" s="12" t="str">
        <f>IFERROR(__xludf.DUMMYFUNCTION("""COMPUTED_VALUE"""),"PKST-US")</f>
        <v>PKST-US</v>
      </c>
      <c r="C411" s="12"/>
      <c r="D411" s="13">
        <f>IFERROR(__xludf.DUMMYFUNCTION("""COMPUTED_VALUE"""),45418.0)</f>
        <v>45418</v>
      </c>
      <c r="E411" s="13">
        <f>IFERROR(__xludf.DUMMYFUNCTION("""COMPUTED_VALUE"""),45805.0)</f>
        <v>45805</v>
      </c>
      <c r="F411" s="13">
        <f>IFERROR(__xludf.DUMMYFUNCTION("""COMPUTED_VALUE"""),45805.0)</f>
        <v>45805</v>
      </c>
      <c r="G411" s="15" t="s">
        <v>5150</v>
      </c>
      <c r="H411" s="15" t="s">
        <v>5150</v>
      </c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 t="str">
        <f>IFERROR(__xludf.DUMMYFUNCTION("""COMPUTED_VALUE"""),"Omniab Inc  Com")</f>
        <v>Omniab Inc  Com</v>
      </c>
      <c r="B412" s="12" t="str">
        <f>IFERROR(__xludf.DUMMYFUNCTION("""COMPUTED_VALUE"""),"OABI-US")</f>
        <v>OABI-US</v>
      </c>
      <c r="C412" s="12"/>
      <c r="D412" s="13">
        <f>IFERROR(__xludf.DUMMYFUNCTION("""COMPUTED_VALUE"""),45418.0)</f>
        <v>45418</v>
      </c>
      <c r="E412" s="13">
        <f>IFERROR(__xludf.DUMMYFUNCTION("""COMPUTED_VALUE"""),45825.0)</f>
        <v>45825</v>
      </c>
      <c r="F412" s="13">
        <f>IFERROR(__xludf.DUMMYFUNCTION("""COMPUTED_VALUE"""),45825.0)</f>
        <v>45825</v>
      </c>
      <c r="G412" s="15" t="s">
        <v>5150</v>
      </c>
      <c r="H412" s="15" t="s">
        <v>5150</v>
      </c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 t="str">
        <f>IFERROR(__xludf.DUMMYFUNCTION("""COMPUTED_VALUE"""),"Inozyme Pharma Inc  Com")</f>
        <v>Inozyme Pharma Inc  Com</v>
      </c>
      <c r="B413" s="12" t="str">
        <f>IFERROR(__xludf.DUMMYFUNCTION("""COMPUTED_VALUE"""),"INZY-US")</f>
        <v>INZY-US</v>
      </c>
      <c r="C413" s="12"/>
      <c r="D413" s="13">
        <f>IFERROR(__xludf.DUMMYFUNCTION("""COMPUTED_VALUE"""),45418.0)</f>
        <v>45418</v>
      </c>
      <c r="E413" s="13">
        <f>IFERROR(__xludf.DUMMYFUNCTION("""COMPUTED_VALUE"""),45833.0)</f>
        <v>45833</v>
      </c>
      <c r="F413" s="13">
        <f>IFERROR(__xludf.DUMMYFUNCTION("""COMPUTED_VALUE"""),45833.0)</f>
        <v>45833</v>
      </c>
      <c r="G413" s="16" t="s">
        <v>5152</v>
      </c>
      <c r="H413" s="16" t="s">
        <v>5152</v>
      </c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 t="str">
        <f>IFERROR(__xludf.DUMMYFUNCTION("""COMPUTED_VALUE"""),"Homestreet Inc  Com")</f>
        <v>Homestreet Inc  Com</v>
      </c>
      <c r="B414" s="12" t="str">
        <f>IFERROR(__xludf.DUMMYFUNCTION("""COMPUTED_VALUE"""),"HMST-US")</f>
        <v>HMST-US</v>
      </c>
      <c r="C414" s="12"/>
      <c r="D414" s="13">
        <f>IFERROR(__xludf.DUMMYFUNCTION("""COMPUTED_VALUE"""),45418.0)</f>
        <v>45418</v>
      </c>
      <c r="E414" s="13">
        <f>IFERROR(__xludf.DUMMYFUNCTION("""COMPUTED_VALUE"""),45806.0)</f>
        <v>45806</v>
      </c>
      <c r="F414" s="13">
        <f>IFERROR(__xludf.DUMMYFUNCTION("""COMPUTED_VALUE"""),45806.0)</f>
        <v>45806</v>
      </c>
      <c r="G414" s="15" t="s">
        <v>5150</v>
      </c>
      <c r="H414" s="15" t="s">
        <v>5150</v>
      </c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 t="str">
        <f>IFERROR(__xludf.DUMMYFUNCTION("""COMPUTED_VALUE"""),"Atn International Inc  Com")</f>
        <v>Atn International Inc  Com</v>
      </c>
      <c r="B415" s="12" t="str">
        <f>IFERROR(__xludf.DUMMYFUNCTION("""COMPUTED_VALUE"""),"ATNI-US")</f>
        <v>ATNI-US</v>
      </c>
      <c r="C415" s="12"/>
      <c r="D415" s="13">
        <f>IFERROR(__xludf.DUMMYFUNCTION("""COMPUTED_VALUE"""),45418.0)</f>
        <v>45418</v>
      </c>
      <c r="E415" s="13">
        <f>IFERROR(__xludf.DUMMYFUNCTION("""COMPUTED_VALUE"""),45825.0)</f>
        <v>45825</v>
      </c>
      <c r="F415" s="13">
        <f>IFERROR(__xludf.DUMMYFUNCTION("""COMPUTED_VALUE"""),45825.0)</f>
        <v>45825</v>
      </c>
      <c r="G415" s="15" t="s">
        <v>5150</v>
      </c>
      <c r="H415" s="15" t="s">
        <v>5150</v>
      </c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 t="str">
        <f>IFERROR(__xludf.DUMMYFUNCTION("""COMPUTED_VALUE"""),"Asana Inc  Cl A")</f>
        <v>Asana Inc  Cl A</v>
      </c>
      <c r="B416" s="12" t="str">
        <f>IFERROR(__xludf.DUMMYFUNCTION("""COMPUTED_VALUE"""),"ASAN-US")</f>
        <v>ASAN-US</v>
      </c>
      <c r="C416" s="12"/>
      <c r="D416" s="13">
        <f>IFERROR(__xludf.DUMMYFUNCTION("""COMPUTED_VALUE"""),45418.0)</f>
        <v>45418</v>
      </c>
      <c r="E416" s="13">
        <f>IFERROR(__xludf.DUMMYFUNCTION("""COMPUTED_VALUE"""),45824.0)</f>
        <v>45824</v>
      </c>
      <c r="F416" s="13">
        <f>IFERROR(__xludf.DUMMYFUNCTION("""COMPUTED_VALUE"""),45824.0)</f>
        <v>45824</v>
      </c>
      <c r="G416" s="15" t="s">
        <v>5150</v>
      </c>
      <c r="H416" s="15" t="s">
        <v>5150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 t="str">
        <f>IFERROR(__xludf.DUMMYFUNCTION("""COMPUTED_VALUE"""),"Innoviva Inc  Com")</f>
        <v>Innoviva Inc  Com</v>
      </c>
      <c r="B417" s="12" t="str">
        <f>IFERROR(__xludf.DUMMYFUNCTION("""COMPUTED_VALUE"""),"INVA-US")</f>
        <v>INVA-US</v>
      </c>
      <c r="C417" s="12"/>
      <c r="D417" s="13">
        <f>IFERROR(__xludf.DUMMYFUNCTION("""COMPUTED_VALUE"""),45418.0)</f>
        <v>45418</v>
      </c>
      <c r="E417" s="13">
        <f>IFERROR(__xludf.DUMMYFUNCTION("""COMPUTED_VALUE"""),45796.0)</f>
        <v>45796</v>
      </c>
      <c r="F417" s="13">
        <f>IFERROR(__xludf.DUMMYFUNCTION("""COMPUTED_VALUE"""),45796.0)</f>
        <v>45796</v>
      </c>
      <c r="G417" s="15" t="s">
        <v>5150</v>
      </c>
      <c r="H417" s="15" t="s">
        <v>5150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 t="str">
        <f>IFERROR(__xludf.DUMMYFUNCTION("""COMPUTED_VALUE"""),"Bank First Corp  Com")</f>
        <v>Bank First Corp  Com</v>
      </c>
      <c r="B418" s="12" t="str">
        <f>IFERROR(__xludf.DUMMYFUNCTION("""COMPUTED_VALUE"""),"BFC-US")</f>
        <v>BFC-US</v>
      </c>
      <c r="C418" s="12"/>
      <c r="D418" s="13">
        <f>IFERROR(__xludf.DUMMYFUNCTION("""COMPUTED_VALUE"""),45418.0)</f>
        <v>45418</v>
      </c>
      <c r="E418" s="13">
        <f>IFERROR(__xludf.DUMMYFUNCTION("""COMPUTED_VALUE"""),45824.0)</f>
        <v>45824</v>
      </c>
      <c r="F418" s="13">
        <f>IFERROR(__xludf.DUMMYFUNCTION("""COMPUTED_VALUE"""),45824.0)</f>
        <v>45824</v>
      </c>
      <c r="G418" s="15" t="s">
        <v>5150</v>
      </c>
      <c r="H418" s="15" t="s">
        <v>5150</v>
      </c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 t="str">
        <f>IFERROR(__xludf.DUMMYFUNCTION("""COMPUTED_VALUE"""),"Fulcrum Therapeutics Inc  Com")</f>
        <v>Fulcrum Therapeutics Inc  Com</v>
      </c>
      <c r="B419" s="12" t="str">
        <f>IFERROR(__xludf.DUMMYFUNCTION("""COMPUTED_VALUE"""),"FULC-US")</f>
        <v>FULC-US</v>
      </c>
      <c r="C419" s="12"/>
      <c r="D419" s="13">
        <f>IFERROR(__xludf.DUMMYFUNCTION("""COMPUTED_VALUE"""),45418.0)</f>
        <v>45418</v>
      </c>
      <c r="E419" s="13">
        <f>IFERROR(__xludf.DUMMYFUNCTION("""COMPUTED_VALUE"""),45834.0)</f>
        <v>45834</v>
      </c>
      <c r="F419" s="13">
        <f>IFERROR(__xludf.DUMMYFUNCTION("""COMPUTED_VALUE"""),45834.0)</f>
        <v>45834</v>
      </c>
      <c r="G419" s="15" t="s">
        <v>5150</v>
      </c>
      <c r="H419" s="15" t="s">
        <v>5150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 t="str">
        <f>IFERROR(__xludf.DUMMYFUNCTION("""COMPUTED_VALUE"""),"Regeneron Pharmaceuticals  Com")</f>
        <v>Regeneron Pharmaceuticals  Com</v>
      </c>
      <c r="B420" s="12" t="str">
        <f>IFERROR(__xludf.DUMMYFUNCTION("""COMPUTED_VALUE"""),"REGN-US")</f>
        <v>REGN-US</v>
      </c>
      <c r="C420" s="12"/>
      <c r="D420" s="13">
        <f>IFERROR(__xludf.DUMMYFUNCTION("""COMPUTED_VALUE"""),45418.0)</f>
        <v>45418</v>
      </c>
      <c r="E420" s="13">
        <f>IFERROR(__xludf.DUMMYFUNCTION("""COMPUTED_VALUE"""),45821.0)</f>
        <v>45821</v>
      </c>
      <c r="F420" s="13">
        <f>IFERROR(__xludf.DUMMYFUNCTION("""COMPUTED_VALUE"""),45821.0)</f>
        <v>45821</v>
      </c>
      <c r="G420" s="15" t="s">
        <v>5150</v>
      </c>
      <c r="H420" s="15" t="s">
        <v>5150</v>
      </c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 t="str">
        <f>IFERROR(__xludf.DUMMYFUNCTION("""COMPUTED_VALUE"""),"Fortinet Inc  Com")</f>
        <v>Fortinet Inc  Com</v>
      </c>
      <c r="B421" s="12" t="str">
        <f>IFERROR(__xludf.DUMMYFUNCTION("""COMPUTED_VALUE"""),"FTNT-US")</f>
        <v>FTNT-US</v>
      </c>
      <c r="C421" s="12"/>
      <c r="D421" s="13">
        <f>IFERROR(__xludf.DUMMYFUNCTION("""COMPUTED_VALUE"""),45419.0)</f>
        <v>45419</v>
      </c>
      <c r="E421" s="13">
        <f>IFERROR(__xludf.DUMMYFUNCTION("""COMPUTED_VALUE"""),45821.0)</f>
        <v>45821</v>
      </c>
      <c r="F421" s="13">
        <f>IFERROR(__xludf.DUMMYFUNCTION("""COMPUTED_VALUE"""),45821.0)</f>
        <v>45821</v>
      </c>
      <c r="G421" s="15" t="s">
        <v>5150</v>
      </c>
      <c r="H421" s="15" t="s">
        <v>5150</v>
      </c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 t="str">
        <f>IFERROR(__xludf.DUMMYFUNCTION("""COMPUTED_VALUE"""),"Coinbase Global Inc  Cl A")</f>
        <v>Coinbase Global Inc  Cl A</v>
      </c>
      <c r="B422" s="12" t="str">
        <f>IFERROR(__xludf.DUMMYFUNCTION("""COMPUTED_VALUE"""),"COIN-US")</f>
        <v>COIN-US</v>
      </c>
      <c r="C422" s="12"/>
      <c r="D422" s="13">
        <f>IFERROR(__xludf.DUMMYFUNCTION("""COMPUTED_VALUE"""),45419.0)</f>
        <v>45419</v>
      </c>
      <c r="E422" s="13">
        <f>IFERROR(__xludf.DUMMYFUNCTION("""COMPUTED_VALUE"""),45826.0)</f>
        <v>45826</v>
      </c>
      <c r="F422" s="13">
        <f>IFERROR(__xludf.DUMMYFUNCTION("""COMPUTED_VALUE"""),45826.0)</f>
        <v>45826</v>
      </c>
      <c r="G422" s="15" t="s">
        <v>5150</v>
      </c>
      <c r="H422" s="15" t="s">
        <v>5150</v>
      </c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 t="str">
        <f>IFERROR(__xludf.DUMMYFUNCTION("""COMPUTED_VALUE"""),"Api Group Corp  Com")</f>
        <v>Api Group Corp  Com</v>
      </c>
      <c r="B423" s="12" t="str">
        <f>IFERROR(__xludf.DUMMYFUNCTION("""COMPUTED_VALUE"""),"APG-US")</f>
        <v>APG-US</v>
      </c>
      <c r="C423" s="12"/>
      <c r="D423" s="13">
        <f>IFERROR(__xludf.DUMMYFUNCTION("""COMPUTED_VALUE"""),45419.0)</f>
        <v>45419</v>
      </c>
      <c r="E423" s="13">
        <f>IFERROR(__xludf.DUMMYFUNCTION("""COMPUTED_VALUE"""),45793.0)</f>
        <v>45793</v>
      </c>
      <c r="F423" s="13">
        <f>IFERROR(__xludf.DUMMYFUNCTION("""COMPUTED_VALUE"""),45793.0)</f>
        <v>45793</v>
      </c>
      <c r="G423" s="15" t="s">
        <v>5150</v>
      </c>
      <c r="H423" s="15" t="s">
        <v>5150</v>
      </c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 t="str">
        <f>IFERROR(__xludf.DUMMYFUNCTION("""COMPUTED_VALUE"""),"Appfolio Inc  Cl A")</f>
        <v>Appfolio Inc  Cl A</v>
      </c>
      <c r="B424" s="12" t="str">
        <f>IFERROR(__xludf.DUMMYFUNCTION("""COMPUTED_VALUE"""),"APPF-US")</f>
        <v>APPF-US</v>
      </c>
      <c r="C424" s="12"/>
      <c r="D424" s="13">
        <f>IFERROR(__xludf.DUMMYFUNCTION("""COMPUTED_VALUE"""),45419.0)</f>
        <v>45419</v>
      </c>
      <c r="E424" s="13">
        <f>IFERROR(__xludf.DUMMYFUNCTION("""COMPUTED_VALUE"""),45821.0)</f>
        <v>45821</v>
      </c>
      <c r="F424" s="13">
        <f>IFERROR(__xludf.DUMMYFUNCTION("""COMPUTED_VALUE"""),45821.0)</f>
        <v>45821</v>
      </c>
      <c r="G424" s="15" t="s">
        <v>5150</v>
      </c>
      <c r="H424" s="15" t="s">
        <v>5150</v>
      </c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 t="str">
        <f>IFERROR(__xludf.DUMMYFUNCTION("""COMPUTED_VALUE"""),"Joby Aviation Inc  Com")</f>
        <v>Joby Aviation Inc  Com</v>
      </c>
      <c r="B425" s="12" t="str">
        <f>IFERROR(__xludf.DUMMYFUNCTION("""COMPUTED_VALUE"""),"JOBY-US")</f>
        <v>JOBY-US</v>
      </c>
      <c r="C425" s="12"/>
      <c r="D425" s="13">
        <f>IFERROR(__xludf.DUMMYFUNCTION("""COMPUTED_VALUE"""),45419.0)</f>
        <v>45419</v>
      </c>
      <c r="E425" s="13">
        <f>IFERROR(__xludf.DUMMYFUNCTION("""COMPUTED_VALUE"""),45814.0)</f>
        <v>45814</v>
      </c>
      <c r="F425" s="13">
        <f>IFERROR(__xludf.DUMMYFUNCTION("""COMPUTED_VALUE"""),45814.0)</f>
        <v>45814</v>
      </c>
      <c r="G425" s="15" t="s">
        <v>5150</v>
      </c>
      <c r="H425" s="15" t="s">
        <v>5150</v>
      </c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 t="str">
        <f>IFERROR(__xludf.DUMMYFUNCTION("""COMPUTED_VALUE"""),"Tg Therapeutics Inc  Com")</f>
        <v>Tg Therapeutics Inc  Com</v>
      </c>
      <c r="B426" s="12" t="str">
        <f>IFERROR(__xludf.DUMMYFUNCTION("""COMPUTED_VALUE"""),"TGTX-US")</f>
        <v>TGTX-US</v>
      </c>
      <c r="C426" s="12"/>
      <c r="D426" s="13">
        <f>IFERROR(__xludf.DUMMYFUNCTION("""COMPUTED_VALUE"""),45419.0)</f>
        <v>45419</v>
      </c>
      <c r="E426" s="13">
        <f>IFERROR(__xludf.DUMMYFUNCTION("""COMPUTED_VALUE"""),45820.0)</f>
        <v>45820</v>
      </c>
      <c r="F426" s="13">
        <f>IFERROR(__xludf.DUMMYFUNCTION("""COMPUTED_VALUE"""),45820.0)</f>
        <v>45820</v>
      </c>
      <c r="G426" s="15" t="s">
        <v>5150</v>
      </c>
      <c r="H426" s="15" t="s">
        <v>5150</v>
      </c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 t="str">
        <f>IFERROR(__xludf.DUMMYFUNCTION("""COMPUTED_VALUE"""),"Artisan Partners Asset Mgmt  Cl A")</f>
        <v>Artisan Partners Asset Mgmt  Cl A</v>
      </c>
      <c r="B427" s="12" t="str">
        <f>IFERROR(__xludf.DUMMYFUNCTION("""COMPUTED_VALUE"""),"APAM-US")</f>
        <v>APAM-US</v>
      </c>
      <c r="C427" s="12"/>
      <c r="D427" s="13">
        <f>IFERROR(__xludf.DUMMYFUNCTION("""COMPUTED_VALUE"""),45419.0)</f>
        <v>45419</v>
      </c>
      <c r="E427" s="13">
        <f>IFERROR(__xludf.DUMMYFUNCTION("""COMPUTED_VALUE"""),45812.0)</f>
        <v>45812</v>
      </c>
      <c r="F427" s="13">
        <f>IFERROR(__xludf.DUMMYFUNCTION("""COMPUTED_VALUE"""),45812.0)</f>
        <v>45812</v>
      </c>
      <c r="G427" s="15" t="s">
        <v>5150</v>
      </c>
      <c r="H427" s="15" t="s">
        <v>5150</v>
      </c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 t="str">
        <f>IFERROR(__xludf.DUMMYFUNCTION("""COMPUTED_VALUE"""),"Supernus Pharmaceuticals Inc  Com")</f>
        <v>Supernus Pharmaceuticals Inc  Com</v>
      </c>
      <c r="B428" s="12" t="str">
        <f>IFERROR(__xludf.DUMMYFUNCTION("""COMPUTED_VALUE"""),"SUPN-US")</f>
        <v>SUPN-US</v>
      </c>
      <c r="C428" s="12"/>
      <c r="D428" s="13">
        <f>IFERROR(__xludf.DUMMYFUNCTION("""COMPUTED_VALUE"""),45419.0)</f>
        <v>45419</v>
      </c>
      <c r="E428" s="13">
        <f>IFERROR(__xludf.DUMMYFUNCTION("""COMPUTED_VALUE"""),45824.0)</f>
        <v>45824</v>
      </c>
      <c r="F428" s="13">
        <f>IFERROR(__xludf.DUMMYFUNCTION("""COMPUTED_VALUE"""),45824.0)</f>
        <v>45824</v>
      </c>
      <c r="G428" s="15" t="s">
        <v>5150</v>
      </c>
      <c r="H428" s="15" t="s">
        <v>5150</v>
      </c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 t="str">
        <f>IFERROR(__xludf.DUMMYFUNCTION("""COMPUTED_VALUE"""),"Ligand Pharmaceuticals Inc  Cl B")</f>
        <v>Ligand Pharmaceuticals Inc  Cl B</v>
      </c>
      <c r="B429" s="12" t="str">
        <f>IFERROR(__xludf.DUMMYFUNCTION("""COMPUTED_VALUE"""),"LGND-US")</f>
        <v>LGND-US</v>
      </c>
      <c r="C429" s="12"/>
      <c r="D429" s="13">
        <f>IFERROR(__xludf.DUMMYFUNCTION("""COMPUTED_VALUE"""),45419.0)</f>
        <v>45419</v>
      </c>
      <c r="E429" s="13">
        <f>IFERROR(__xludf.DUMMYFUNCTION("""COMPUTED_VALUE"""),45814.0)</f>
        <v>45814</v>
      </c>
      <c r="F429" s="13">
        <f>IFERROR(__xludf.DUMMYFUNCTION("""COMPUTED_VALUE"""),45814.0)</f>
        <v>45814</v>
      </c>
      <c r="G429" s="15" t="s">
        <v>5150</v>
      </c>
      <c r="H429" s="15" t="s">
        <v>5150</v>
      </c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 t="str">
        <f>IFERROR(__xludf.DUMMYFUNCTION("""COMPUTED_VALUE"""),"Summit Therapeutics Inc  Com")</f>
        <v>Summit Therapeutics Inc  Com</v>
      </c>
      <c r="B430" s="12" t="str">
        <f>IFERROR(__xludf.DUMMYFUNCTION("""COMPUTED_VALUE"""),"SMMT-US")</f>
        <v>SMMT-US</v>
      </c>
      <c r="C430" s="12"/>
      <c r="D430" s="13">
        <f>IFERROR(__xludf.DUMMYFUNCTION("""COMPUTED_VALUE"""),45419.0)</f>
        <v>45419</v>
      </c>
      <c r="E430" s="13">
        <f>IFERROR(__xludf.DUMMYFUNCTION("""COMPUTED_VALUE"""),45820.0)</f>
        <v>45820</v>
      </c>
      <c r="F430" s="13">
        <f>IFERROR(__xludf.DUMMYFUNCTION("""COMPUTED_VALUE"""),45820.0)</f>
        <v>45820</v>
      </c>
      <c r="G430" s="15" t="s">
        <v>5150</v>
      </c>
      <c r="H430" s="15" t="s">
        <v>5150</v>
      </c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 t="str">
        <f>IFERROR(__xludf.DUMMYFUNCTION("""COMPUTED_VALUE"""),"Arcutis Biotherapeutics Inc  Com")</f>
        <v>Arcutis Biotherapeutics Inc  Com</v>
      </c>
      <c r="B431" s="12" t="str">
        <f>IFERROR(__xludf.DUMMYFUNCTION("""COMPUTED_VALUE"""),"ARQT-US")</f>
        <v>ARQT-US</v>
      </c>
      <c r="C431" s="12"/>
      <c r="D431" s="13">
        <f>IFERROR(__xludf.DUMMYFUNCTION("""COMPUTED_VALUE"""),45419.0)</f>
        <v>45419</v>
      </c>
      <c r="E431" s="13">
        <f>IFERROR(__xludf.DUMMYFUNCTION("""COMPUTED_VALUE"""),45820.0)</f>
        <v>45820</v>
      </c>
      <c r="F431" s="13">
        <f>IFERROR(__xludf.DUMMYFUNCTION("""COMPUTED_VALUE"""),45820.0)</f>
        <v>45820</v>
      </c>
      <c r="G431" s="15" t="s">
        <v>5150</v>
      </c>
      <c r="H431" s="15" t="s">
        <v>5150</v>
      </c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 t="str">
        <f>IFERROR(__xludf.DUMMYFUNCTION("""COMPUTED_VALUE"""),"Aurinia Pharmaceuticals Inc  Com")</f>
        <v>Aurinia Pharmaceuticals Inc  Com</v>
      </c>
      <c r="B432" s="12" t="str">
        <f>IFERROR(__xludf.DUMMYFUNCTION("""COMPUTED_VALUE"""),"AUPH-US")</f>
        <v>AUPH-US</v>
      </c>
      <c r="C432" s="12"/>
      <c r="D432" s="13">
        <f>IFERROR(__xludf.DUMMYFUNCTION("""COMPUTED_VALUE"""),45419.0)</f>
        <v>45419</v>
      </c>
      <c r="E432" s="13">
        <f>IFERROR(__xludf.DUMMYFUNCTION("""COMPUTED_VALUE"""),45792.0)</f>
        <v>45792</v>
      </c>
      <c r="F432" s="13">
        <f>IFERROR(__xludf.DUMMYFUNCTION("""COMPUTED_VALUE"""),45792.0)</f>
        <v>45792</v>
      </c>
      <c r="G432" s="15" t="s">
        <v>5150</v>
      </c>
      <c r="H432" s="15" t="s">
        <v>5150</v>
      </c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 t="str">
        <f>IFERROR(__xludf.DUMMYFUNCTION("""COMPUTED_VALUE"""),"Ardelyx Inc  Com")</f>
        <v>Ardelyx Inc  Com</v>
      </c>
      <c r="B433" s="12" t="str">
        <f>IFERROR(__xludf.DUMMYFUNCTION("""COMPUTED_VALUE"""),"ARDX-US")</f>
        <v>ARDX-US</v>
      </c>
      <c r="C433" s="12"/>
      <c r="D433" s="13">
        <f>IFERROR(__xludf.DUMMYFUNCTION("""COMPUTED_VALUE"""),45419.0)</f>
        <v>45419</v>
      </c>
      <c r="E433" s="13">
        <f>IFERROR(__xludf.DUMMYFUNCTION("""COMPUTED_VALUE"""),45826.0)</f>
        <v>45826</v>
      </c>
      <c r="F433" s="13">
        <f>IFERROR(__xludf.DUMMYFUNCTION("""COMPUTED_VALUE"""),45826.0)</f>
        <v>45826</v>
      </c>
      <c r="G433" s="15" t="s">
        <v>5150</v>
      </c>
      <c r="H433" s="15" t="s">
        <v>5150</v>
      </c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 t="str">
        <f>IFERROR(__xludf.DUMMYFUNCTION("""COMPUTED_VALUE"""),"Opendoor Technologies Inc  Com")</f>
        <v>Opendoor Technologies Inc  Com</v>
      </c>
      <c r="B434" s="12" t="str">
        <f>IFERROR(__xludf.DUMMYFUNCTION("""COMPUTED_VALUE"""),"OPEN-US")</f>
        <v>OPEN-US</v>
      </c>
      <c r="C434" s="12"/>
      <c r="D434" s="13">
        <f>IFERROR(__xludf.DUMMYFUNCTION("""COMPUTED_VALUE"""),45419.0)</f>
        <v>45419</v>
      </c>
      <c r="E434" s="13">
        <f>IFERROR(__xludf.DUMMYFUNCTION("""COMPUTED_VALUE"""),45821.0)</f>
        <v>45821</v>
      </c>
      <c r="F434" s="13">
        <f>IFERROR(__xludf.DUMMYFUNCTION("""COMPUTED_VALUE"""),45821.0)</f>
        <v>45821</v>
      </c>
      <c r="G434" s="15" t="s">
        <v>5150</v>
      </c>
      <c r="H434" s="15" t="s">
        <v>5150</v>
      </c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 t="str">
        <f>IFERROR(__xludf.DUMMYFUNCTION("""COMPUTED_VALUE"""),"Harrow Inc  Com")</f>
        <v>Harrow Inc  Com</v>
      </c>
      <c r="B435" s="12" t="str">
        <f>IFERROR(__xludf.DUMMYFUNCTION("""COMPUTED_VALUE"""),"HROW-US")</f>
        <v>HROW-US</v>
      </c>
      <c r="C435" s="12"/>
      <c r="D435" s="13">
        <f>IFERROR(__xludf.DUMMYFUNCTION("""COMPUTED_VALUE"""),45419.0)</f>
        <v>45419</v>
      </c>
      <c r="E435" s="13">
        <f>IFERROR(__xludf.DUMMYFUNCTION("""COMPUTED_VALUE"""),45826.0)</f>
        <v>45826</v>
      </c>
      <c r="F435" s="13">
        <f>IFERROR(__xludf.DUMMYFUNCTION("""COMPUTED_VALUE"""),45826.0)</f>
        <v>45826</v>
      </c>
      <c r="G435" s="15" t="s">
        <v>5150</v>
      </c>
      <c r="H435" s="15" t="s">
        <v>5150</v>
      </c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 t="str">
        <f>IFERROR(__xludf.DUMMYFUNCTION("""COMPUTED_VALUE"""),"Dxp Enterprises Inc  Com")</f>
        <v>Dxp Enterprises Inc  Com</v>
      </c>
      <c r="B436" s="12" t="str">
        <f>IFERROR(__xludf.DUMMYFUNCTION("""COMPUTED_VALUE"""),"DXPE-US")</f>
        <v>DXPE-US</v>
      </c>
      <c r="C436" s="12"/>
      <c r="D436" s="13">
        <f>IFERROR(__xludf.DUMMYFUNCTION("""COMPUTED_VALUE"""),45419.0)</f>
        <v>45419</v>
      </c>
      <c r="E436" s="13">
        <f>IFERROR(__xludf.DUMMYFUNCTION("""COMPUTED_VALUE"""),45821.0)</f>
        <v>45821</v>
      </c>
      <c r="F436" s="13">
        <f>IFERROR(__xludf.DUMMYFUNCTION("""COMPUTED_VALUE"""),45821.0)</f>
        <v>45821</v>
      </c>
      <c r="G436" s="15" t="s">
        <v>5150</v>
      </c>
      <c r="H436" s="15" t="s">
        <v>5150</v>
      </c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 t="str">
        <f>IFERROR(__xludf.DUMMYFUNCTION("""COMPUTED_VALUE"""),"Arcturus Therapeutics Holdings  Com")</f>
        <v>Arcturus Therapeutics Holdings  Com</v>
      </c>
      <c r="B437" s="12" t="str">
        <f>IFERROR(__xludf.DUMMYFUNCTION("""COMPUTED_VALUE"""),"ARCT-US")</f>
        <v>ARCT-US</v>
      </c>
      <c r="C437" s="12"/>
      <c r="D437" s="13">
        <f>IFERROR(__xludf.DUMMYFUNCTION("""COMPUTED_VALUE"""),45419.0)</f>
        <v>45419</v>
      </c>
      <c r="E437" s="13">
        <f>IFERROR(__xludf.DUMMYFUNCTION("""COMPUTED_VALUE"""),45814.0)</f>
        <v>45814</v>
      </c>
      <c r="F437" s="13">
        <f>IFERROR(__xludf.DUMMYFUNCTION("""COMPUTED_VALUE"""),45814.0)</f>
        <v>45814</v>
      </c>
      <c r="G437" s="15" t="s">
        <v>5150</v>
      </c>
      <c r="H437" s="15" t="s">
        <v>5150</v>
      </c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 t="str">
        <f>IFERROR(__xludf.DUMMYFUNCTION("""COMPUTED_VALUE"""),"Gigacloud Technology Inc  Cl A")</f>
        <v>Gigacloud Technology Inc  Cl A</v>
      </c>
      <c r="B438" s="12" t="str">
        <f>IFERROR(__xludf.DUMMYFUNCTION("""COMPUTED_VALUE"""),"GCT-US")</f>
        <v>GCT-US</v>
      </c>
      <c r="C438" s="12"/>
      <c r="D438" s="13">
        <f>IFERROR(__xludf.DUMMYFUNCTION("""COMPUTED_VALUE"""),45419.0)</f>
        <v>45419</v>
      </c>
      <c r="E438" s="13">
        <f>IFERROR(__xludf.DUMMYFUNCTION("""COMPUTED_VALUE"""),45849.0)</f>
        <v>45849</v>
      </c>
      <c r="F438" s="13">
        <f>IFERROR(__xludf.DUMMYFUNCTION("""COMPUTED_VALUE"""),45849.0)</f>
        <v>45849</v>
      </c>
      <c r="G438" s="15" t="s">
        <v>5150</v>
      </c>
      <c r="H438" s="15" t="s">
        <v>5150</v>
      </c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 t="str">
        <f>IFERROR(__xludf.DUMMYFUNCTION("""COMPUTED_VALUE"""),"P10 Inc  Cl A")</f>
        <v>P10 Inc  Cl A</v>
      </c>
      <c r="B439" s="12" t="str">
        <f>IFERROR(__xludf.DUMMYFUNCTION("""COMPUTED_VALUE"""),"PX-US")</f>
        <v>PX-US</v>
      </c>
      <c r="C439" s="12"/>
      <c r="D439" s="13">
        <f>IFERROR(__xludf.DUMMYFUNCTION("""COMPUTED_VALUE"""),45419.0)</f>
        <v>45419</v>
      </c>
      <c r="E439" s="13">
        <f>IFERROR(__xludf.DUMMYFUNCTION("""COMPUTED_VALUE"""),45820.0)</f>
        <v>45820</v>
      </c>
      <c r="F439" s="13">
        <f>IFERROR(__xludf.DUMMYFUNCTION("""COMPUTED_VALUE"""),45820.0)</f>
        <v>45820</v>
      </c>
      <c r="G439" s="15" t="s">
        <v>5150</v>
      </c>
      <c r="H439" s="15" t="s">
        <v>5150</v>
      </c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 t="str">
        <f>IFERROR(__xludf.DUMMYFUNCTION("""COMPUTED_VALUE"""),"Service Properties Trust  Sbi")</f>
        <v>Service Properties Trust  Sbi</v>
      </c>
      <c r="B440" s="12" t="str">
        <f>IFERROR(__xludf.DUMMYFUNCTION("""COMPUTED_VALUE"""),"SVC-US")</f>
        <v>SVC-US</v>
      </c>
      <c r="C440" s="12"/>
      <c r="D440" s="13">
        <f>IFERROR(__xludf.DUMMYFUNCTION("""COMPUTED_VALUE"""),45419.0)</f>
        <v>45419</v>
      </c>
      <c r="E440" s="13">
        <f>IFERROR(__xludf.DUMMYFUNCTION("""COMPUTED_VALUE"""),45821.0)</f>
        <v>45821</v>
      </c>
      <c r="F440" s="13">
        <f>IFERROR(__xludf.DUMMYFUNCTION("""COMPUTED_VALUE"""),45821.0)</f>
        <v>45821</v>
      </c>
      <c r="G440" s="15" t="s">
        <v>5150</v>
      </c>
      <c r="H440" s="15" t="s">
        <v>5150</v>
      </c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 t="str">
        <f>IFERROR(__xludf.DUMMYFUNCTION("""COMPUTED_VALUE"""),"Neurogene Inc  Com")</f>
        <v>Neurogene Inc  Com</v>
      </c>
      <c r="B441" s="12" t="str">
        <f>IFERROR(__xludf.DUMMYFUNCTION("""COMPUTED_VALUE"""),"NGNE-US")</f>
        <v>NGNE-US</v>
      </c>
      <c r="C441" s="12"/>
      <c r="D441" s="13">
        <f>IFERROR(__xludf.DUMMYFUNCTION("""COMPUTED_VALUE"""),45419.0)</f>
        <v>45419</v>
      </c>
      <c r="E441" s="13">
        <f>IFERROR(__xludf.DUMMYFUNCTION("""COMPUTED_VALUE"""),45820.0)</f>
        <v>45820</v>
      </c>
      <c r="F441" s="13">
        <f>IFERROR(__xludf.DUMMYFUNCTION("""COMPUTED_VALUE"""),45820.0)</f>
        <v>45820</v>
      </c>
      <c r="G441" s="15" t="s">
        <v>5150</v>
      </c>
      <c r="H441" s="15" t="s">
        <v>5150</v>
      </c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 t="str">
        <f>IFERROR(__xludf.DUMMYFUNCTION("""COMPUTED_VALUE"""),"Newtekone Inc  Com")</f>
        <v>Newtekone Inc  Com</v>
      </c>
      <c r="B442" s="12" t="str">
        <f>IFERROR(__xludf.DUMMYFUNCTION("""COMPUTED_VALUE"""),"NEWT-US")</f>
        <v>NEWT-US</v>
      </c>
      <c r="C442" s="12"/>
      <c r="D442" s="13">
        <f>IFERROR(__xludf.DUMMYFUNCTION("""COMPUTED_VALUE"""),45419.0)</f>
        <v>45419</v>
      </c>
      <c r="E442" s="13">
        <f>IFERROR(__xludf.DUMMYFUNCTION("""COMPUTED_VALUE"""),45821.0)</f>
        <v>45821</v>
      </c>
      <c r="F442" s="13">
        <f>IFERROR(__xludf.DUMMYFUNCTION("""COMPUTED_VALUE"""),45821.0)</f>
        <v>45821</v>
      </c>
      <c r="G442" s="15" t="s">
        <v>5150</v>
      </c>
      <c r="H442" s="15" t="s">
        <v>5150</v>
      </c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 t="str">
        <f>IFERROR(__xludf.DUMMYFUNCTION("""COMPUTED_VALUE"""),"W&amp;T Offshore Inc  Com")</f>
        <v>W&amp;T Offshore Inc  Com</v>
      </c>
      <c r="B443" s="12" t="str">
        <f>IFERROR(__xludf.DUMMYFUNCTION("""COMPUTED_VALUE"""),"WTI-US")</f>
        <v>WTI-US</v>
      </c>
      <c r="C443" s="12"/>
      <c r="D443" s="13">
        <f>IFERROR(__xludf.DUMMYFUNCTION("""COMPUTED_VALUE"""),45419.0)</f>
        <v>45419</v>
      </c>
      <c r="E443" s="13">
        <f>IFERROR(__xludf.DUMMYFUNCTION("""COMPUTED_VALUE"""),45811.0)</f>
        <v>45811</v>
      </c>
      <c r="F443" s="13">
        <f>IFERROR(__xludf.DUMMYFUNCTION("""COMPUTED_VALUE"""),45811.0)</f>
        <v>45811</v>
      </c>
      <c r="G443" s="16" t="s">
        <v>5154</v>
      </c>
      <c r="H443" s="16" t="s">
        <v>5152</v>
      </c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 t="str">
        <f>IFERROR(__xludf.DUMMYFUNCTION("""COMPUTED_VALUE"""),"Lyell Immunopharma Inc  Com")</f>
        <v>Lyell Immunopharma Inc  Com</v>
      </c>
      <c r="B444" s="12" t="str">
        <f>IFERROR(__xludf.DUMMYFUNCTION("""COMPUTED_VALUE"""),"LYEL-US")</f>
        <v>LYEL-US</v>
      </c>
      <c r="C444" s="12"/>
      <c r="D444" s="13">
        <f>IFERROR(__xludf.DUMMYFUNCTION("""COMPUTED_VALUE"""),45419.0)</f>
        <v>45419</v>
      </c>
      <c r="E444" s="13">
        <f>IFERROR(__xludf.DUMMYFUNCTION("""COMPUTED_VALUE"""),45792.0)</f>
        <v>45792</v>
      </c>
      <c r="F444" s="13">
        <f>IFERROR(__xludf.DUMMYFUNCTION("""COMPUTED_VALUE"""),45792.0)</f>
        <v>45792</v>
      </c>
      <c r="G444" s="15" t="s">
        <v>5150</v>
      </c>
      <c r="H444" s="15" t="s">
        <v>5150</v>
      </c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 t="str">
        <f>IFERROR(__xludf.DUMMYFUNCTION("""COMPUTED_VALUE"""),"Monster Beverage Corp  Com")</f>
        <v>Monster Beverage Corp  Com</v>
      </c>
      <c r="B445" s="12" t="str">
        <f>IFERROR(__xludf.DUMMYFUNCTION("""COMPUTED_VALUE"""),"MNST-US")</f>
        <v>MNST-US</v>
      </c>
      <c r="C445" s="12"/>
      <c r="D445" s="13">
        <f>IFERROR(__xludf.DUMMYFUNCTION("""COMPUTED_VALUE"""),45419.0)</f>
        <v>45419</v>
      </c>
      <c r="E445" s="13">
        <f>IFERROR(__xludf.DUMMYFUNCTION("""COMPUTED_VALUE"""),45820.0)</f>
        <v>45820</v>
      </c>
      <c r="F445" s="13">
        <f>IFERROR(__xludf.DUMMYFUNCTION("""COMPUTED_VALUE"""),45820.0)</f>
        <v>45820</v>
      </c>
      <c r="G445" s="15" t="s">
        <v>5150</v>
      </c>
      <c r="H445" s="15" t="s">
        <v>5150</v>
      </c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 t="str">
        <f>IFERROR(__xludf.DUMMYFUNCTION("""COMPUTED_VALUE"""),"Ingersoll Rand Inc  Com")</f>
        <v>Ingersoll Rand Inc  Com</v>
      </c>
      <c r="B446" s="12" t="str">
        <f>IFERROR(__xludf.DUMMYFUNCTION("""COMPUTED_VALUE"""),"IR-US")</f>
        <v>IR-US</v>
      </c>
      <c r="C446" s="12"/>
      <c r="D446" s="13">
        <f>IFERROR(__xludf.DUMMYFUNCTION("""COMPUTED_VALUE"""),45419.0)</f>
        <v>45419</v>
      </c>
      <c r="E446" s="13">
        <f>IFERROR(__xludf.DUMMYFUNCTION("""COMPUTED_VALUE"""),45820.0)</f>
        <v>45820</v>
      </c>
      <c r="F446" s="13">
        <f>IFERROR(__xludf.DUMMYFUNCTION("""COMPUTED_VALUE"""),45820.0)</f>
        <v>45820</v>
      </c>
      <c r="G446" s="15" t="s">
        <v>5150</v>
      </c>
      <c r="H446" s="15" t="s">
        <v>5150</v>
      </c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 t="str">
        <f>IFERROR(__xludf.DUMMYFUNCTION("""COMPUTED_VALUE"""),"Monolithic Power Systems Inc  Com")</f>
        <v>Monolithic Power Systems Inc  Com</v>
      </c>
      <c r="B447" s="12" t="str">
        <f>IFERROR(__xludf.DUMMYFUNCTION("""COMPUTED_VALUE"""),"MPWR-US")</f>
        <v>MPWR-US</v>
      </c>
      <c r="C447" s="12"/>
      <c r="D447" s="13">
        <f>IFERROR(__xludf.DUMMYFUNCTION("""COMPUTED_VALUE"""),45419.0)</f>
        <v>45419</v>
      </c>
      <c r="E447" s="13">
        <f>IFERROR(__xludf.DUMMYFUNCTION("""COMPUTED_VALUE"""),45820.0)</f>
        <v>45820</v>
      </c>
      <c r="F447" s="13">
        <f>IFERROR(__xludf.DUMMYFUNCTION("""COMPUTED_VALUE"""),45820.0)</f>
        <v>45820</v>
      </c>
      <c r="G447" s="15" t="s">
        <v>5150</v>
      </c>
      <c r="H447" s="15" t="s">
        <v>5150</v>
      </c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 t="str">
        <f>IFERROR(__xludf.DUMMYFUNCTION("""COMPUTED_VALUE"""),"Coupang Inc  Cl A")</f>
        <v>Coupang Inc  Cl A</v>
      </c>
      <c r="B448" s="12" t="str">
        <f>IFERROR(__xludf.DUMMYFUNCTION("""COMPUTED_VALUE"""),"CPNG-US")</f>
        <v>CPNG-US</v>
      </c>
      <c r="C448" s="12"/>
      <c r="D448" s="13">
        <f>IFERROR(__xludf.DUMMYFUNCTION("""COMPUTED_VALUE"""),45419.0)</f>
        <v>45419</v>
      </c>
      <c r="E448" s="13">
        <f>IFERROR(__xludf.DUMMYFUNCTION("""COMPUTED_VALUE"""),45820.0)</f>
        <v>45820</v>
      </c>
      <c r="F448" s="13">
        <f>IFERROR(__xludf.DUMMYFUNCTION("""COMPUTED_VALUE"""),45820.0)</f>
        <v>45820</v>
      </c>
      <c r="G448" s="15" t="s">
        <v>5150</v>
      </c>
      <c r="H448" s="15" t="s">
        <v>5150</v>
      </c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 t="str">
        <f>IFERROR(__xludf.DUMMYFUNCTION("""COMPUTED_VALUE"""),"Zoom Communications Inc  Cl A")</f>
        <v>Zoom Communications Inc  Cl A</v>
      </c>
      <c r="B449" s="12" t="str">
        <f>IFERROR(__xludf.DUMMYFUNCTION("""COMPUTED_VALUE"""),"ZM-US")</f>
        <v>ZM-US</v>
      </c>
      <c r="C449" s="12"/>
      <c r="D449" s="13">
        <f>IFERROR(__xludf.DUMMYFUNCTION("""COMPUTED_VALUE"""),45419.0)</f>
        <v>45419</v>
      </c>
      <c r="E449" s="13">
        <f>IFERROR(__xludf.DUMMYFUNCTION("""COMPUTED_VALUE"""),45820.0)</f>
        <v>45820</v>
      </c>
      <c r="F449" s="13">
        <f>IFERROR(__xludf.DUMMYFUNCTION("""COMPUTED_VALUE"""),45820.0)</f>
        <v>45820</v>
      </c>
      <c r="G449" s="15" t="s">
        <v>5150</v>
      </c>
      <c r="H449" s="15" t="s">
        <v>5150</v>
      </c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 t="str">
        <f>IFERROR(__xludf.DUMMYFUNCTION("""COMPUTED_VALUE"""),"Live Nation Entertainment Inc  Com")</f>
        <v>Live Nation Entertainment Inc  Com</v>
      </c>
      <c r="B450" s="12" t="str">
        <f>IFERROR(__xludf.DUMMYFUNCTION("""COMPUTED_VALUE"""),"LYV-US")</f>
        <v>LYV-US</v>
      </c>
      <c r="C450" s="12"/>
      <c r="D450" s="13">
        <f>IFERROR(__xludf.DUMMYFUNCTION("""COMPUTED_VALUE"""),45419.0)</f>
        <v>45419</v>
      </c>
      <c r="E450" s="13">
        <f>IFERROR(__xludf.DUMMYFUNCTION("""COMPUTED_VALUE"""),45820.0)</f>
        <v>45820</v>
      </c>
      <c r="F450" s="13">
        <f>IFERROR(__xludf.DUMMYFUNCTION("""COMPUTED_VALUE"""),45820.0)</f>
        <v>45820</v>
      </c>
      <c r="G450" s="15" t="s">
        <v>5150</v>
      </c>
      <c r="H450" s="15" t="s">
        <v>5150</v>
      </c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 t="str">
        <f>IFERROR(__xludf.DUMMYFUNCTION("""COMPUTED_VALUE"""),"Gaming &amp; Leisure Properties Inc  Com")</f>
        <v>Gaming &amp; Leisure Properties Inc  Com</v>
      </c>
      <c r="B451" s="12" t="str">
        <f>IFERROR(__xludf.DUMMYFUNCTION("""COMPUTED_VALUE"""),"GLPI-US")</f>
        <v>GLPI-US</v>
      </c>
      <c r="C451" s="12"/>
      <c r="D451" s="13">
        <f>IFERROR(__xludf.DUMMYFUNCTION("""COMPUTED_VALUE"""),45419.0)</f>
        <v>45419</v>
      </c>
      <c r="E451" s="13">
        <f>IFERROR(__xludf.DUMMYFUNCTION("""COMPUTED_VALUE"""),45820.0)</f>
        <v>45820</v>
      </c>
      <c r="F451" s="13">
        <f>IFERROR(__xludf.DUMMYFUNCTION("""COMPUTED_VALUE"""),45820.0)</f>
        <v>45820</v>
      </c>
      <c r="G451" s="15" t="s">
        <v>5150</v>
      </c>
      <c r="H451" s="15" t="s">
        <v>5150</v>
      </c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 t="str">
        <f>IFERROR(__xludf.DUMMYFUNCTION("""COMPUTED_VALUE"""),"Blue Owl Capital Inc  Cl A")</f>
        <v>Blue Owl Capital Inc  Cl A</v>
      </c>
      <c r="B452" s="12" t="str">
        <f>IFERROR(__xludf.DUMMYFUNCTION("""COMPUTED_VALUE"""),"OWL-US")</f>
        <v>OWL-US</v>
      </c>
      <c r="C452" s="12"/>
      <c r="D452" s="13">
        <f>IFERROR(__xludf.DUMMYFUNCTION("""COMPUTED_VALUE"""),45419.0)</f>
        <v>45419</v>
      </c>
      <c r="E452" s="13">
        <f>IFERROR(__xludf.DUMMYFUNCTION("""COMPUTED_VALUE"""),45817.0)</f>
        <v>45817</v>
      </c>
      <c r="F452" s="13">
        <f>IFERROR(__xludf.DUMMYFUNCTION("""COMPUTED_VALUE"""),45817.0)</f>
        <v>45817</v>
      </c>
      <c r="G452" s="15" t="s">
        <v>5150</v>
      </c>
      <c r="H452" s="15" t="s">
        <v>5150</v>
      </c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 t="str">
        <f>IFERROR(__xludf.DUMMYFUNCTION("""COMPUTED_VALUE"""),"Gamestop Corp  Cl A")</f>
        <v>Gamestop Corp  Cl A</v>
      </c>
      <c r="B453" s="12" t="str">
        <f>IFERROR(__xludf.DUMMYFUNCTION("""COMPUTED_VALUE"""),"GME-US")</f>
        <v>GME-US</v>
      </c>
      <c r="C453" s="12"/>
      <c r="D453" s="13">
        <f>IFERROR(__xludf.DUMMYFUNCTION("""COMPUTED_VALUE"""),45419.0)</f>
        <v>45419</v>
      </c>
      <c r="E453" s="13">
        <f>IFERROR(__xludf.DUMMYFUNCTION("""COMPUTED_VALUE"""),45820.0)</f>
        <v>45820</v>
      </c>
      <c r="F453" s="13">
        <f>IFERROR(__xludf.DUMMYFUNCTION("""COMPUTED_VALUE"""),45820.0)</f>
        <v>45820</v>
      </c>
      <c r="G453" s="15" t="s">
        <v>5150</v>
      </c>
      <c r="H453" s="15" t="s">
        <v>5150</v>
      </c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 t="str">
        <f>IFERROR(__xludf.DUMMYFUNCTION("""COMPUTED_VALUE"""),"Carey W P Inc  Com")</f>
        <v>Carey W P Inc  Com</v>
      </c>
      <c r="B454" s="12" t="str">
        <f>IFERROR(__xludf.DUMMYFUNCTION("""COMPUTED_VALUE"""),"WPC-US")</f>
        <v>WPC-US</v>
      </c>
      <c r="C454" s="12"/>
      <c r="D454" s="13">
        <f>IFERROR(__xludf.DUMMYFUNCTION("""COMPUTED_VALUE"""),45419.0)</f>
        <v>45419</v>
      </c>
      <c r="E454" s="13">
        <f>IFERROR(__xludf.DUMMYFUNCTION("""COMPUTED_VALUE"""),45820.0)</f>
        <v>45820</v>
      </c>
      <c r="F454" s="13">
        <f>IFERROR(__xludf.DUMMYFUNCTION("""COMPUTED_VALUE"""),45820.0)</f>
        <v>45820</v>
      </c>
      <c r="G454" s="15" t="s">
        <v>5150</v>
      </c>
      <c r="H454" s="15" t="s">
        <v>5150</v>
      </c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 t="str">
        <f>IFERROR(__xludf.DUMMYFUNCTION("""COMPUTED_VALUE"""),"Norwegian Cruise Line Holdings  Com")</f>
        <v>Norwegian Cruise Line Holdings  Com</v>
      </c>
      <c r="B455" s="12" t="str">
        <f>IFERROR(__xludf.DUMMYFUNCTION("""COMPUTED_VALUE"""),"NCLH-US")</f>
        <v>NCLH-US</v>
      </c>
      <c r="C455" s="12"/>
      <c r="D455" s="13">
        <f>IFERROR(__xludf.DUMMYFUNCTION("""COMPUTED_VALUE"""),45419.0)</f>
        <v>45419</v>
      </c>
      <c r="E455" s="13">
        <f>IFERROR(__xludf.DUMMYFUNCTION("""COMPUTED_VALUE"""),45820.0)</f>
        <v>45820</v>
      </c>
      <c r="F455" s="13">
        <f>IFERROR(__xludf.DUMMYFUNCTION("""COMPUTED_VALUE"""),45820.0)</f>
        <v>45820</v>
      </c>
      <c r="G455" s="15" t="s">
        <v>5150</v>
      </c>
      <c r="H455" s="15" t="s">
        <v>5150</v>
      </c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 t="str">
        <f>IFERROR(__xludf.DUMMYFUNCTION("""COMPUTED_VALUE"""),"Exact Sciences Corp  Com")</f>
        <v>Exact Sciences Corp  Com</v>
      </c>
      <c r="B456" s="12" t="str">
        <f>IFERROR(__xludf.DUMMYFUNCTION("""COMPUTED_VALUE"""),"EXAS-US")</f>
        <v>EXAS-US</v>
      </c>
      <c r="C456" s="12"/>
      <c r="D456" s="13">
        <f>IFERROR(__xludf.DUMMYFUNCTION("""COMPUTED_VALUE"""),45419.0)</f>
        <v>45419</v>
      </c>
      <c r="E456" s="13">
        <f>IFERROR(__xludf.DUMMYFUNCTION("""COMPUTED_VALUE"""),45820.0)</f>
        <v>45820</v>
      </c>
      <c r="F456" s="13">
        <f>IFERROR(__xludf.DUMMYFUNCTION("""COMPUTED_VALUE"""),45820.0)</f>
        <v>45820</v>
      </c>
      <c r="G456" s="15" t="s">
        <v>5150</v>
      </c>
      <c r="H456" s="15" t="s">
        <v>5150</v>
      </c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 t="str">
        <f>IFERROR(__xludf.DUMMYFUNCTION("""COMPUTED_VALUE"""),"Generac Holdings Inc  Com")</f>
        <v>Generac Holdings Inc  Com</v>
      </c>
      <c r="B457" s="12" t="str">
        <f>IFERROR(__xludf.DUMMYFUNCTION("""COMPUTED_VALUE"""),"GNRC-US")</f>
        <v>GNRC-US</v>
      </c>
      <c r="C457" s="12"/>
      <c r="D457" s="13">
        <f>IFERROR(__xludf.DUMMYFUNCTION("""COMPUTED_VALUE"""),45419.0)</f>
        <v>45419</v>
      </c>
      <c r="E457" s="13">
        <f>IFERROR(__xludf.DUMMYFUNCTION("""COMPUTED_VALUE"""),45820.0)</f>
        <v>45820</v>
      </c>
      <c r="F457" s="13">
        <f>IFERROR(__xludf.DUMMYFUNCTION("""COMPUTED_VALUE"""),45820.0)</f>
        <v>45820</v>
      </c>
      <c r="G457" s="15" t="s">
        <v>5150</v>
      </c>
      <c r="H457" s="15" t="s">
        <v>5150</v>
      </c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 t="str">
        <f>IFERROR(__xludf.DUMMYFUNCTION("""COMPUTED_VALUE"""),"Matador Resources Co  Com")</f>
        <v>Matador Resources Co  Com</v>
      </c>
      <c r="B458" s="12" t="str">
        <f>IFERROR(__xludf.DUMMYFUNCTION("""COMPUTED_VALUE"""),"MTDR-US")</f>
        <v>MTDR-US</v>
      </c>
      <c r="C458" s="12"/>
      <c r="D458" s="13">
        <f>IFERROR(__xludf.DUMMYFUNCTION("""COMPUTED_VALUE"""),45419.0)</f>
        <v>45419</v>
      </c>
      <c r="E458" s="13">
        <f>IFERROR(__xludf.DUMMYFUNCTION("""COMPUTED_VALUE"""),45820.0)</f>
        <v>45820</v>
      </c>
      <c r="F458" s="13">
        <f>IFERROR(__xludf.DUMMYFUNCTION("""COMPUTED_VALUE"""),45820.0)</f>
        <v>45820</v>
      </c>
      <c r="G458" s="15" t="s">
        <v>5150</v>
      </c>
      <c r="H458" s="15" t="s">
        <v>5150</v>
      </c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 t="str">
        <f>IFERROR(__xludf.DUMMYFUNCTION("""COMPUTED_VALUE"""),"Ollies Bargain Outlet Hldgs Inc  Com")</f>
        <v>Ollies Bargain Outlet Hldgs Inc  Com</v>
      </c>
      <c r="B459" s="12" t="str">
        <f>IFERROR(__xludf.DUMMYFUNCTION("""COMPUTED_VALUE"""),"OLLI-US")</f>
        <v>OLLI-US</v>
      </c>
      <c r="C459" s="12"/>
      <c r="D459" s="13">
        <f>IFERROR(__xludf.DUMMYFUNCTION("""COMPUTED_VALUE"""),45419.0)</f>
        <v>45419</v>
      </c>
      <c r="E459" s="13">
        <f>IFERROR(__xludf.DUMMYFUNCTION("""COMPUTED_VALUE"""),45820.0)</f>
        <v>45820</v>
      </c>
      <c r="F459" s="13">
        <f>IFERROR(__xludf.DUMMYFUNCTION("""COMPUTED_VALUE"""),45820.0)</f>
        <v>45820</v>
      </c>
      <c r="G459" s="15" t="s">
        <v>5150</v>
      </c>
      <c r="H459" s="15" t="s">
        <v>5150</v>
      </c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 t="str">
        <f>IFERROR(__xludf.DUMMYFUNCTION("""COMPUTED_VALUE"""),"Etsy Inc  Com")</f>
        <v>Etsy Inc  Com</v>
      </c>
      <c r="B460" s="12" t="str">
        <f>IFERROR(__xludf.DUMMYFUNCTION("""COMPUTED_VALUE"""),"ETSY-US")</f>
        <v>ETSY-US</v>
      </c>
      <c r="C460" s="12"/>
      <c r="D460" s="13">
        <f>IFERROR(__xludf.DUMMYFUNCTION("""COMPUTED_VALUE"""),45419.0)</f>
        <v>45419</v>
      </c>
      <c r="E460" s="13">
        <f>IFERROR(__xludf.DUMMYFUNCTION("""COMPUTED_VALUE"""),45825.0)</f>
        <v>45825</v>
      </c>
      <c r="F460" s="13">
        <f>IFERROR(__xludf.DUMMYFUNCTION("""COMPUTED_VALUE"""),45825.0)</f>
        <v>45825</v>
      </c>
      <c r="G460" s="15" t="s">
        <v>5150</v>
      </c>
      <c r="H460" s="15" t="s">
        <v>5150</v>
      </c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 t="str">
        <f>IFERROR(__xludf.DUMMYFUNCTION("""COMPUTED_VALUE"""),"Armstrong World Industries Inc  Com")</f>
        <v>Armstrong World Industries Inc  Com</v>
      </c>
      <c r="B461" s="12" t="str">
        <f>IFERROR(__xludf.DUMMYFUNCTION("""COMPUTED_VALUE"""),"AWI-US")</f>
        <v>AWI-US</v>
      </c>
      <c r="C461" s="12"/>
      <c r="D461" s="13">
        <f>IFERROR(__xludf.DUMMYFUNCTION("""COMPUTED_VALUE"""),45419.0)</f>
        <v>45419</v>
      </c>
      <c r="E461" s="13">
        <f>IFERROR(__xludf.DUMMYFUNCTION("""COMPUTED_VALUE"""),45820.0)</f>
        <v>45820</v>
      </c>
      <c r="F461" s="13">
        <f>IFERROR(__xludf.DUMMYFUNCTION("""COMPUTED_VALUE"""),45820.0)</f>
        <v>45820</v>
      </c>
      <c r="G461" s="15" t="s">
        <v>5150</v>
      </c>
      <c r="H461" s="15" t="s">
        <v>5150</v>
      </c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 t="str">
        <f>IFERROR(__xludf.DUMMYFUNCTION("""COMPUTED_VALUE"""),"Lyft Inc  Cl A")</f>
        <v>Lyft Inc  Cl A</v>
      </c>
      <c r="B462" s="12" t="str">
        <f>IFERROR(__xludf.DUMMYFUNCTION("""COMPUTED_VALUE"""),"LYFT-US")</f>
        <v>LYFT-US</v>
      </c>
      <c r="C462" s="12"/>
      <c r="D462" s="13">
        <f>IFERROR(__xludf.DUMMYFUNCTION("""COMPUTED_VALUE"""),45419.0)</f>
        <v>45419</v>
      </c>
      <c r="E462" s="13">
        <f>IFERROR(__xludf.DUMMYFUNCTION("""COMPUTED_VALUE"""),45813.0)</f>
        <v>45813</v>
      </c>
      <c r="F462" s="13">
        <f>IFERROR(__xludf.DUMMYFUNCTION("""COMPUTED_VALUE"""),45813.0)</f>
        <v>45813</v>
      </c>
      <c r="G462" s="15" t="s">
        <v>5150</v>
      </c>
      <c r="H462" s="15" t="s">
        <v>5150</v>
      </c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 t="str">
        <f>IFERROR(__xludf.DUMMYFUNCTION("""COMPUTED_VALUE"""),"Sabra Health Care Reit Inc  Com")</f>
        <v>Sabra Health Care Reit Inc  Com</v>
      </c>
      <c r="B463" s="12" t="str">
        <f>IFERROR(__xludf.DUMMYFUNCTION("""COMPUTED_VALUE"""),"SBRA-US")</f>
        <v>SBRA-US</v>
      </c>
      <c r="C463" s="12"/>
      <c r="D463" s="13">
        <f>IFERROR(__xludf.DUMMYFUNCTION("""COMPUTED_VALUE"""),45419.0)</f>
        <v>45419</v>
      </c>
      <c r="E463" s="13">
        <f>IFERROR(__xludf.DUMMYFUNCTION("""COMPUTED_VALUE"""),45820.0)</f>
        <v>45820</v>
      </c>
      <c r="F463" s="13">
        <f>IFERROR(__xludf.DUMMYFUNCTION("""COMPUTED_VALUE"""),45820.0)</f>
        <v>45820</v>
      </c>
      <c r="G463" s="15" t="s">
        <v>5150</v>
      </c>
      <c r="H463" s="15" t="s">
        <v>5150</v>
      </c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 t="str">
        <f>IFERROR(__xludf.DUMMYFUNCTION("""COMPUTED_VALUE"""),"Asgn Inc  Com")</f>
        <v>Asgn Inc  Com</v>
      </c>
      <c r="B464" s="12" t="str">
        <f>IFERROR(__xludf.DUMMYFUNCTION("""COMPUTED_VALUE"""),"ASGN-US")</f>
        <v>ASGN-US</v>
      </c>
      <c r="C464" s="12"/>
      <c r="D464" s="13">
        <f>IFERROR(__xludf.DUMMYFUNCTION("""COMPUTED_VALUE"""),45419.0)</f>
        <v>45419</v>
      </c>
      <c r="E464" s="13">
        <f>IFERROR(__xludf.DUMMYFUNCTION("""COMPUTED_VALUE"""),45820.0)</f>
        <v>45820</v>
      </c>
      <c r="F464" s="13">
        <f>IFERROR(__xludf.DUMMYFUNCTION("""COMPUTED_VALUE"""),45820.0)</f>
        <v>45820</v>
      </c>
      <c r="G464" s="15" t="s">
        <v>5150</v>
      </c>
      <c r="H464" s="15" t="s">
        <v>5150</v>
      </c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 t="str">
        <f>IFERROR(__xludf.DUMMYFUNCTION("""COMPUTED_VALUE"""),"Avidity Biosciences Inc  Com")</f>
        <v>Avidity Biosciences Inc  Com</v>
      </c>
      <c r="B465" s="12" t="str">
        <f>IFERROR(__xludf.DUMMYFUNCTION("""COMPUTED_VALUE"""),"RNA-US")</f>
        <v>RNA-US</v>
      </c>
      <c r="C465" s="12"/>
      <c r="D465" s="13">
        <f>IFERROR(__xludf.DUMMYFUNCTION("""COMPUTED_VALUE"""),45419.0)</f>
        <v>45419</v>
      </c>
      <c r="E465" s="13">
        <f>IFERROR(__xludf.DUMMYFUNCTION("""COMPUTED_VALUE"""),45818.0)</f>
        <v>45818</v>
      </c>
      <c r="F465" s="13">
        <f>IFERROR(__xludf.DUMMYFUNCTION("""COMPUTED_VALUE"""),45818.0)</f>
        <v>45818</v>
      </c>
      <c r="G465" s="15" t="s">
        <v>5150</v>
      </c>
      <c r="H465" s="15" t="s">
        <v>5150</v>
      </c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 t="str">
        <f>IFERROR(__xludf.DUMMYFUNCTION("""COMPUTED_VALUE"""),"Sweetgreen Inc  Cl A")</f>
        <v>Sweetgreen Inc  Cl A</v>
      </c>
      <c r="B466" s="12" t="str">
        <f>IFERROR(__xludf.DUMMYFUNCTION("""COMPUTED_VALUE"""),"SG-US")</f>
        <v>SG-US</v>
      </c>
      <c r="C466" s="12"/>
      <c r="D466" s="13">
        <f>IFERROR(__xludf.DUMMYFUNCTION("""COMPUTED_VALUE"""),45419.0)</f>
        <v>45419</v>
      </c>
      <c r="E466" s="13">
        <f>IFERROR(__xludf.DUMMYFUNCTION("""COMPUTED_VALUE"""),45820.0)</f>
        <v>45820</v>
      </c>
      <c r="F466" s="13">
        <f>IFERROR(__xludf.DUMMYFUNCTION("""COMPUTED_VALUE"""),45820.0)</f>
        <v>45820</v>
      </c>
      <c r="G466" s="15" t="s">
        <v>5150</v>
      </c>
      <c r="H466" s="15" t="s">
        <v>5150</v>
      </c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 t="str">
        <f>IFERROR(__xludf.DUMMYFUNCTION("""COMPUTED_VALUE"""),"Victorias Secret &amp; Co  Com")</f>
        <v>Victorias Secret &amp; Co  Com</v>
      </c>
      <c r="B467" s="12" t="str">
        <f>IFERROR(__xludf.DUMMYFUNCTION("""COMPUTED_VALUE"""),"VSCO-US")</f>
        <v>VSCO-US</v>
      </c>
      <c r="C467" s="12"/>
      <c r="D467" s="13">
        <f>IFERROR(__xludf.DUMMYFUNCTION("""COMPUTED_VALUE"""),45419.0)</f>
        <v>45419</v>
      </c>
      <c r="E467" s="13">
        <f>IFERROR(__xludf.DUMMYFUNCTION("""COMPUTED_VALUE"""),45826.0)</f>
        <v>45826</v>
      </c>
      <c r="F467" s="13">
        <f>IFERROR(__xludf.DUMMYFUNCTION("""COMPUTED_VALUE"""),45826.0)</f>
        <v>45826</v>
      </c>
      <c r="G467" s="15" t="s">
        <v>5150</v>
      </c>
      <c r="H467" s="15" t="s">
        <v>5150</v>
      </c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 t="str">
        <f>IFERROR(__xludf.DUMMYFUNCTION("""COMPUTED_VALUE"""),"Yelp Inc  Com")</f>
        <v>Yelp Inc  Com</v>
      </c>
      <c r="B468" s="12" t="str">
        <f>IFERROR(__xludf.DUMMYFUNCTION("""COMPUTED_VALUE"""),"YELP-US")</f>
        <v>YELP-US</v>
      </c>
      <c r="C468" s="12"/>
      <c r="D468" s="13">
        <f>IFERROR(__xludf.DUMMYFUNCTION("""COMPUTED_VALUE"""),45419.0)</f>
        <v>45419</v>
      </c>
      <c r="E468" s="13">
        <f>IFERROR(__xludf.DUMMYFUNCTION("""COMPUTED_VALUE"""),45821.0)</f>
        <v>45821</v>
      </c>
      <c r="F468" s="13">
        <f>IFERROR(__xludf.DUMMYFUNCTION("""COMPUTED_VALUE"""),45821.0)</f>
        <v>45821</v>
      </c>
      <c r="G468" s="15" t="s">
        <v>5150</v>
      </c>
      <c r="H468" s="15" t="s">
        <v>5150</v>
      </c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 t="str">
        <f>IFERROR(__xludf.DUMMYFUNCTION("""COMPUTED_VALUE"""),"Rapid7 Inc  Com")</f>
        <v>Rapid7 Inc  Com</v>
      </c>
      <c r="B469" s="12" t="str">
        <f>IFERROR(__xludf.DUMMYFUNCTION("""COMPUTED_VALUE"""),"RPD-US")</f>
        <v>RPD-US</v>
      </c>
      <c r="C469" s="12"/>
      <c r="D469" s="13">
        <f>IFERROR(__xludf.DUMMYFUNCTION("""COMPUTED_VALUE"""),45419.0)</f>
        <v>45419</v>
      </c>
      <c r="E469" s="13">
        <f>IFERROR(__xludf.DUMMYFUNCTION("""COMPUTED_VALUE"""),45819.0)</f>
        <v>45819</v>
      </c>
      <c r="F469" s="13">
        <f>IFERROR(__xludf.DUMMYFUNCTION("""COMPUTED_VALUE"""),45819.0)</f>
        <v>45819</v>
      </c>
      <c r="G469" s="15" t="s">
        <v>5150</v>
      </c>
      <c r="H469" s="15" t="s">
        <v>5150</v>
      </c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 t="str">
        <f>IFERROR(__xludf.DUMMYFUNCTION("""COMPUTED_VALUE"""),"Clear Secure Inc  Cl A")</f>
        <v>Clear Secure Inc  Cl A</v>
      </c>
      <c r="B470" s="12" t="str">
        <f>IFERROR(__xludf.DUMMYFUNCTION("""COMPUTED_VALUE"""),"YOU-US")</f>
        <v>YOU-US</v>
      </c>
      <c r="C470" s="12"/>
      <c r="D470" s="13">
        <f>IFERROR(__xludf.DUMMYFUNCTION("""COMPUTED_VALUE"""),45419.0)</f>
        <v>45419</v>
      </c>
      <c r="E470" s="13">
        <f>IFERROR(__xludf.DUMMYFUNCTION("""COMPUTED_VALUE"""),45813.0)</f>
        <v>45813</v>
      </c>
      <c r="F470" s="13">
        <f>IFERROR(__xludf.DUMMYFUNCTION("""COMPUTED_VALUE"""),45813.0)</f>
        <v>45813</v>
      </c>
      <c r="G470" s="15" t="s">
        <v>5150</v>
      </c>
      <c r="H470" s="15" t="s">
        <v>5150</v>
      </c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 t="str">
        <f>IFERROR(__xludf.DUMMYFUNCTION("""COMPUTED_VALUE"""),"United Parks &amp; Resorts Inc  Com")</f>
        <v>United Parks &amp; Resorts Inc  Com</v>
      </c>
      <c r="B471" s="12" t="str">
        <f>IFERROR(__xludf.DUMMYFUNCTION("""COMPUTED_VALUE"""),"PRKS-US")</f>
        <v>PRKS-US</v>
      </c>
      <c r="C471" s="12"/>
      <c r="D471" s="13">
        <f>IFERROR(__xludf.DUMMYFUNCTION("""COMPUTED_VALUE"""),45419.0)</f>
        <v>45419</v>
      </c>
      <c r="E471" s="13">
        <f>IFERROR(__xludf.DUMMYFUNCTION("""COMPUTED_VALUE"""),45821.0)</f>
        <v>45821</v>
      </c>
      <c r="F471" s="13">
        <f>IFERROR(__xludf.DUMMYFUNCTION("""COMPUTED_VALUE"""),45821.0)</f>
        <v>45821</v>
      </c>
      <c r="G471" s="15" t="s">
        <v>5150</v>
      </c>
      <c r="H471" s="15" t="s">
        <v>5150</v>
      </c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 t="str">
        <f>IFERROR(__xludf.DUMMYFUNCTION("""COMPUTED_VALUE"""),"Tarsus Pharmaceuticals Inc  Com")</f>
        <v>Tarsus Pharmaceuticals Inc  Com</v>
      </c>
      <c r="B472" s="12" t="str">
        <f>IFERROR(__xludf.DUMMYFUNCTION("""COMPUTED_VALUE"""),"TARS-US")</f>
        <v>TARS-US</v>
      </c>
      <c r="C472" s="12"/>
      <c r="D472" s="13">
        <f>IFERROR(__xludf.DUMMYFUNCTION("""COMPUTED_VALUE"""),45419.0)</f>
        <v>45419</v>
      </c>
      <c r="E472" s="13">
        <f>IFERROR(__xludf.DUMMYFUNCTION("""COMPUTED_VALUE"""),45820.0)</f>
        <v>45820</v>
      </c>
      <c r="F472" s="13">
        <f>IFERROR(__xludf.DUMMYFUNCTION("""COMPUTED_VALUE"""),45820.0)</f>
        <v>45820</v>
      </c>
      <c r="G472" s="15" t="s">
        <v>5150</v>
      </c>
      <c r="H472" s="15" t="s">
        <v>5150</v>
      </c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 t="str">
        <f>IFERROR(__xludf.DUMMYFUNCTION("""COMPUTED_VALUE"""),"Marqeta Inc  Cl A")</f>
        <v>Marqeta Inc  Cl A</v>
      </c>
      <c r="B473" s="12" t="str">
        <f>IFERROR(__xludf.DUMMYFUNCTION("""COMPUTED_VALUE"""),"MQ-US")</f>
        <v>MQ-US</v>
      </c>
      <c r="C473" s="12"/>
      <c r="D473" s="13">
        <f>IFERROR(__xludf.DUMMYFUNCTION("""COMPUTED_VALUE"""),45419.0)</f>
        <v>45419</v>
      </c>
      <c r="E473" s="13">
        <f>IFERROR(__xludf.DUMMYFUNCTION("""COMPUTED_VALUE"""),45820.0)</f>
        <v>45820</v>
      </c>
      <c r="F473" s="13">
        <f>IFERROR(__xludf.DUMMYFUNCTION("""COMPUTED_VALUE"""),45820.0)</f>
        <v>45820</v>
      </c>
      <c r="G473" s="15" t="s">
        <v>5150</v>
      </c>
      <c r="H473" s="15" t="s">
        <v>5150</v>
      </c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 t="str">
        <f>IFERROR(__xludf.DUMMYFUNCTION("""COMPUTED_VALUE"""),"Enovix Corp  Com")</f>
        <v>Enovix Corp  Com</v>
      </c>
      <c r="B474" s="12" t="str">
        <f>IFERROR(__xludf.DUMMYFUNCTION("""COMPUTED_VALUE"""),"ENVX-US")</f>
        <v>ENVX-US</v>
      </c>
      <c r="C474" s="12"/>
      <c r="D474" s="13">
        <f>IFERROR(__xludf.DUMMYFUNCTION("""COMPUTED_VALUE"""),45419.0)</f>
        <v>45419</v>
      </c>
      <c r="E474" s="13">
        <f>IFERROR(__xludf.DUMMYFUNCTION("""COMPUTED_VALUE"""),45820.0)</f>
        <v>45820</v>
      </c>
      <c r="F474" s="13">
        <f>IFERROR(__xludf.DUMMYFUNCTION("""COMPUTED_VALUE"""),45820.0)</f>
        <v>45820</v>
      </c>
      <c r="G474" s="15" t="s">
        <v>5150</v>
      </c>
      <c r="H474" s="15" t="s">
        <v>5150</v>
      </c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 t="str">
        <f>IFERROR(__xludf.DUMMYFUNCTION("""COMPUTED_VALUE"""),"Pagerduty Inc  Com")</f>
        <v>Pagerduty Inc  Com</v>
      </c>
      <c r="B475" s="12" t="str">
        <f>IFERROR(__xludf.DUMMYFUNCTION("""COMPUTED_VALUE"""),"PD-US")</f>
        <v>PD-US</v>
      </c>
      <c r="C475" s="12"/>
      <c r="D475" s="13">
        <f>IFERROR(__xludf.DUMMYFUNCTION("""COMPUTED_VALUE"""),45419.0)</f>
        <v>45419</v>
      </c>
      <c r="E475" s="13">
        <f>IFERROR(__xludf.DUMMYFUNCTION("""COMPUTED_VALUE"""),45834.0)</f>
        <v>45834</v>
      </c>
      <c r="F475" s="13">
        <f>IFERROR(__xludf.DUMMYFUNCTION("""COMPUTED_VALUE"""),45834.0)</f>
        <v>45834</v>
      </c>
      <c r="G475" s="15" t="s">
        <v>5150</v>
      </c>
      <c r="H475" s="15" t="s">
        <v>5150</v>
      </c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 t="str">
        <f>IFERROR(__xludf.DUMMYFUNCTION("""COMPUTED_VALUE"""),"Celldex Therapeutics Inc  Com")</f>
        <v>Celldex Therapeutics Inc  Com</v>
      </c>
      <c r="B476" s="12" t="str">
        <f>IFERROR(__xludf.DUMMYFUNCTION("""COMPUTED_VALUE"""),"CLDX-US")</f>
        <v>CLDX-US</v>
      </c>
      <c r="C476" s="12"/>
      <c r="D476" s="13">
        <f>IFERROR(__xludf.DUMMYFUNCTION("""COMPUTED_VALUE"""),45419.0)</f>
        <v>45419</v>
      </c>
      <c r="E476" s="13">
        <f>IFERROR(__xludf.DUMMYFUNCTION("""COMPUTED_VALUE"""),45813.0)</f>
        <v>45813</v>
      </c>
      <c r="F476" s="13">
        <f>IFERROR(__xludf.DUMMYFUNCTION("""COMPUTED_VALUE"""),45813.0)</f>
        <v>45813</v>
      </c>
      <c r="G476" s="15" t="s">
        <v>5150</v>
      </c>
      <c r="H476" s="15" t="s">
        <v>5150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 t="str">
        <f>IFERROR(__xludf.DUMMYFUNCTION("""COMPUTED_VALUE"""),"Novavax Inc  Com")</f>
        <v>Novavax Inc  Com</v>
      </c>
      <c r="B477" s="12" t="str">
        <f>IFERROR(__xludf.DUMMYFUNCTION("""COMPUTED_VALUE"""),"NVAX-US")</f>
        <v>NVAX-US</v>
      </c>
      <c r="C477" s="12"/>
      <c r="D477" s="13">
        <f>IFERROR(__xludf.DUMMYFUNCTION("""COMPUTED_VALUE"""),45419.0)</f>
        <v>45419</v>
      </c>
      <c r="E477" s="13">
        <f>IFERROR(__xludf.DUMMYFUNCTION("""COMPUTED_VALUE"""),45828.0)</f>
        <v>45828</v>
      </c>
      <c r="F477" s="13">
        <f>IFERROR(__xludf.DUMMYFUNCTION("""COMPUTED_VALUE"""),45828.0)</f>
        <v>45828</v>
      </c>
      <c r="G477" s="15" t="s">
        <v>5150</v>
      </c>
      <c r="H477" s="15" t="s">
        <v>5150</v>
      </c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 t="str">
        <f>IFERROR(__xludf.DUMMYFUNCTION("""COMPUTED_VALUE"""),"Limbach Holdings Inc  Com")</f>
        <v>Limbach Holdings Inc  Com</v>
      </c>
      <c r="B478" s="12" t="str">
        <f>IFERROR(__xludf.DUMMYFUNCTION("""COMPUTED_VALUE"""),"LMB-US")</f>
        <v>LMB-US</v>
      </c>
      <c r="C478" s="12"/>
      <c r="D478" s="13">
        <f>IFERROR(__xludf.DUMMYFUNCTION("""COMPUTED_VALUE"""),45419.0)</f>
        <v>45419</v>
      </c>
      <c r="E478" s="13">
        <f>IFERROR(__xludf.DUMMYFUNCTION("""COMPUTED_VALUE"""),45819.0)</f>
        <v>45819</v>
      </c>
      <c r="F478" s="13">
        <f>IFERROR(__xludf.DUMMYFUNCTION("""COMPUTED_VALUE"""),45819.0)</f>
        <v>45819</v>
      </c>
      <c r="G478" s="15" t="s">
        <v>5150</v>
      </c>
      <c r="H478" s="15" t="s">
        <v>5150</v>
      </c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 t="str">
        <f>IFERROR(__xludf.DUMMYFUNCTION("""COMPUTED_VALUE"""),"Xencor Inc  Com")</f>
        <v>Xencor Inc  Com</v>
      </c>
      <c r="B479" s="12" t="str">
        <f>IFERROR(__xludf.DUMMYFUNCTION("""COMPUTED_VALUE"""),"XNCR-US")</f>
        <v>XNCR-US</v>
      </c>
      <c r="C479" s="12"/>
      <c r="D479" s="13">
        <f>IFERROR(__xludf.DUMMYFUNCTION("""COMPUTED_VALUE"""),45419.0)</f>
        <v>45419</v>
      </c>
      <c r="E479" s="13">
        <f>IFERROR(__xludf.DUMMYFUNCTION("""COMPUTED_VALUE"""),45820.0)</f>
        <v>45820</v>
      </c>
      <c r="F479" s="13">
        <f>IFERROR(__xludf.DUMMYFUNCTION("""COMPUTED_VALUE"""),45820.0)</f>
        <v>45820</v>
      </c>
      <c r="G479" s="15" t="s">
        <v>5150</v>
      </c>
      <c r="H479" s="15" t="s">
        <v>5150</v>
      </c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 t="str">
        <f>IFERROR(__xludf.DUMMYFUNCTION("""COMPUTED_VALUE"""),"Caredx Inc  Com")</f>
        <v>Caredx Inc  Com</v>
      </c>
      <c r="B480" s="12" t="str">
        <f>IFERROR(__xludf.DUMMYFUNCTION("""COMPUTED_VALUE"""),"CDNA-US")</f>
        <v>CDNA-US</v>
      </c>
      <c r="C480" s="12"/>
      <c r="D480" s="13">
        <f>IFERROR(__xludf.DUMMYFUNCTION("""COMPUTED_VALUE"""),45419.0)</f>
        <v>45419</v>
      </c>
      <c r="E480" s="13">
        <f>IFERROR(__xludf.DUMMYFUNCTION("""COMPUTED_VALUE"""),45820.0)</f>
        <v>45820</v>
      </c>
      <c r="F480" s="13">
        <f>IFERROR(__xludf.DUMMYFUNCTION("""COMPUTED_VALUE"""),45820.0)</f>
        <v>45820</v>
      </c>
      <c r="G480" s="15" t="s">
        <v>5150</v>
      </c>
      <c r="H480" s="15" t="s">
        <v>5150</v>
      </c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 t="str">
        <f>IFERROR(__xludf.DUMMYFUNCTION("""COMPUTED_VALUE"""),"Sprinklr Inc  Cl A")</f>
        <v>Sprinklr Inc  Cl A</v>
      </c>
      <c r="B481" s="12" t="str">
        <f>IFERROR(__xludf.DUMMYFUNCTION("""COMPUTED_VALUE"""),"CXM-US")</f>
        <v>CXM-US</v>
      </c>
      <c r="C481" s="12"/>
      <c r="D481" s="13">
        <f>IFERROR(__xludf.DUMMYFUNCTION("""COMPUTED_VALUE"""),45419.0)</f>
        <v>45419</v>
      </c>
      <c r="E481" s="13">
        <f>IFERROR(__xludf.DUMMYFUNCTION("""COMPUTED_VALUE"""),45820.0)</f>
        <v>45820</v>
      </c>
      <c r="F481" s="13">
        <f>IFERROR(__xludf.DUMMYFUNCTION("""COMPUTED_VALUE"""),45820.0)</f>
        <v>45820</v>
      </c>
      <c r="G481" s="15" t="s">
        <v>5150</v>
      </c>
      <c r="H481" s="15" t="s">
        <v>5150</v>
      </c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 t="str">
        <f>IFERROR(__xludf.DUMMYFUNCTION("""COMPUTED_VALUE"""),"Acm Research Inc  Cl A")</f>
        <v>Acm Research Inc  Cl A</v>
      </c>
      <c r="B482" s="12" t="str">
        <f>IFERROR(__xludf.DUMMYFUNCTION("""COMPUTED_VALUE"""),"ACMR-US")</f>
        <v>ACMR-US</v>
      </c>
      <c r="C482" s="12"/>
      <c r="D482" s="13">
        <f>IFERROR(__xludf.DUMMYFUNCTION("""COMPUTED_VALUE"""),45419.0)</f>
        <v>45419</v>
      </c>
      <c r="E482" s="13">
        <f>IFERROR(__xludf.DUMMYFUNCTION("""COMPUTED_VALUE"""),45820.0)</f>
        <v>45820</v>
      </c>
      <c r="F482" s="13">
        <f>IFERROR(__xludf.DUMMYFUNCTION("""COMPUTED_VALUE"""),45820.0)</f>
        <v>45820</v>
      </c>
      <c r="G482" s="15" t="s">
        <v>5150</v>
      </c>
      <c r="H482" s="15" t="s">
        <v>5150</v>
      </c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 t="str">
        <f>IFERROR(__xludf.DUMMYFUNCTION("""COMPUTED_VALUE"""),"Rocket Pharmaceuticals Inc  Com")</f>
        <v>Rocket Pharmaceuticals Inc  Com</v>
      </c>
      <c r="B483" s="12" t="str">
        <f>IFERROR(__xludf.DUMMYFUNCTION("""COMPUTED_VALUE"""),"RCKT-US")</f>
        <v>RCKT-US</v>
      </c>
      <c r="C483" s="12"/>
      <c r="D483" s="13">
        <f>IFERROR(__xludf.DUMMYFUNCTION("""COMPUTED_VALUE"""),45054.0)</f>
        <v>45054</v>
      </c>
      <c r="E483" s="13">
        <f>IFERROR(__xludf.DUMMYFUNCTION("""COMPUTED_VALUE"""),45826.0)</f>
        <v>45826</v>
      </c>
      <c r="F483" s="13">
        <f>IFERROR(__xludf.DUMMYFUNCTION("""COMPUTED_VALUE"""),45826.0)</f>
        <v>45826</v>
      </c>
      <c r="G483" s="16" t="s">
        <v>5150</v>
      </c>
      <c r="H483" s="15" t="s">
        <v>5150</v>
      </c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 t="str">
        <f>IFERROR(__xludf.DUMMYFUNCTION("""COMPUTED_VALUE"""),"Advansix Inc  Com")</f>
        <v>Advansix Inc  Com</v>
      </c>
      <c r="B484" s="12" t="str">
        <f>IFERROR(__xludf.DUMMYFUNCTION("""COMPUTED_VALUE"""),"ASIX-US")</f>
        <v>ASIX-US</v>
      </c>
      <c r="C484" s="12"/>
      <c r="D484" s="13">
        <f>IFERROR(__xludf.DUMMYFUNCTION("""COMPUTED_VALUE"""),45420.0)</f>
        <v>45420</v>
      </c>
      <c r="E484" s="13">
        <f>IFERROR(__xludf.DUMMYFUNCTION("""COMPUTED_VALUE"""),45826.0)</f>
        <v>45826</v>
      </c>
      <c r="F484" s="13">
        <f>IFERROR(__xludf.DUMMYFUNCTION("""COMPUTED_VALUE"""),45826.0)</f>
        <v>45826</v>
      </c>
      <c r="G484" s="15" t="s">
        <v>5150</v>
      </c>
      <c r="H484" s="15" t="s">
        <v>5150</v>
      </c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 t="str">
        <f>IFERROR(__xludf.DUMMYFUNCTION("""COMPUTED_VALUE"""),"Build A Bear Workshop Inc  Com")</f>
        <v>Build A Bear Workshop Inc  Com</v>
      </c>
      <c r="B485" s="12" t="str">
        <f>IFERROR(__xludf.DUMMYFUNCTION("""COMPUTED_VALUE"""),"BBW-US")</f>
        <v>BBW-US</v>
      </c>
      <c r="C485" s="12"/>
      <c r="D485" s="13">
        <f>IFERROR(__xludf.DUMMYFUNCTION("""COMPUTED_VALUE"""),45420.0)</f>
        <v>45420</v>
      </c>
      <c r="E485" s="13">
        <f>IFERROR(__xludf.DUMMYFUNCTION("""COMPUTED_VALUE"""),45820.0)</f>
        <v>45820</v>
      </c>
      <c r="F485" s="13">
        <f>IFERROR(__xludf.DUMMYFUNCTION("""COMPUTED_VALUE"""),45820.0)</f>
        <v>45820</v>
      </c>
      <c r="G485" s="16" t="s">
        <v>5150</v>
      </c>
      <c r="H485" s="16" t="s">
        <v>5150</v>
      </c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 t="str">
        <f>IFERROR(__xludf.DUMMYFUNCTION("""COMPUTED_VALUE"""),"Pra Group Inc  Com")</f>
        <v>Pra Group Inc  Com</v>
      </c>
      <c r="B486" s="12" t="str">
        <f>IFERROR(__xludf.DUMMYFUNCTION("""COMPUTED_VALUE"""),"PRAA-US")</f>
        <v>PRAA-US</v>
      </c>
      <c r="C486" s="12"/>
      <c r="D486" s="13">
        <f>IFERROR(__xludf.DUMMYFUNCTION("""COMPUTED_VALUE"""),45420.0)</f>
        <v>45420</v>
      </c>
      <c r="E486" s="13">
        <f>IFERROR(__xludf.DUMMYFUNCTION("""COMPUTED_VALUE"""),45825.0)</f>
        <v>45825</v>
      </c>
      <c r="F486" s="13">
        <f>IFERROR(__xludf.DUMMYFUNCTION("""COMPUTED_VALUE"""),45825.0)</f>
        <v>45825</v>
      </c>
      <c r="G486" s="15" t="s">
        <v>5150</v>
      </c>
      <c r="H486" s="15" t="s">
        <v>5150</v>
      </c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 t="str">
        <f>IFERROR(__xludf.DUMMYFUNCTION("""COMPUTED_VALUE"""),"Pliant Therapeutics Inc  Com")</f>
        <v>Pliant Therapeutics Inc  Com</v>
      </c>
      <c r="B487" s="12" t="str">
        <f>IFERROR(__xludf.DUMMYFUNCTION("""COMPUTED_VALUE"""),"PLRX-US")</f>
        <v>PLRX-US</v>
      </c>
      <c r="C487" s="12"/>
      <c r="D487" s="13">
        <f>IFERROR(__xludf.DUMMYFUNCTION("""COMPUTED_VALUE"""),45420.0)</f>
        <v>45420</v>
      </c>
      <c r="E487" s="13">
        <f>IFERROR(__xludf.DUMMYFUNCTION("""COMPUTED_VALUE"""),45813.0)</f>
        <v>45813</v>
      </c>
      <c r="F487" s="13">
        <f>IFERROR(__xludf.DUMMYFUNCTION("""COMPUTED_VALUE"""),45813.0)</f>
        <v>45813</v>
      </c>
      <c r="G487" s="15" t="s">
        <v>5150</v>
      </c>
      <c r="H487" s="15" t="s">
        <v>5150</v>
      </c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 t="str">
        <f>IFERROR(__xludf.DUMMYFUNCTION("""COMPUTED_VALUE"""),"Hamilton Insurance Group Ltd  Cl B")</f>
        <v>Hamilton Insurance Group Ltd  Cl B</v>
      </c>
      <c r="B488" s="12" t="str">
        <f>IFERROR(__xludf.DUMMYFUNCTION("""COMPUTED_VALUE"""),"HG-US")</f>
        <v>HG-US</v>
      </c>
      <c r="C488" s="12"/>
      <c r="D488" s="13">
        <f>IFERROR(__xludf.DUMMYFUNCTION("""COMPUTED_VALUE"""),45420.0)</f>
        <v>45420</v>
      </c>
      <c r="E488" s="13">
        <f>IFERROR(__xludf.DUMMYFUNCTION("""COMPUTED_VALUE"""),45792.0)</f>
        <v>45792</v>
      </c>
      <c r="F488" s="13">
        <f>IFERROR(__xludf.DUMMYFUNCTION("""COMPUTED_VALUE"""),45792.0)</f>
        <v>45792</v>
      </c>
      <c r="G488" s="16" t="s">
        <v>5152</v>
      </c>
      <c r="H488" s="16" t="s">
        <v>5152</v>
      </c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 t="str">
        <f>IFERROR(__xludf.DUMMYFUNCTION("""COMPUTED_VALUE"""),"Northwest Pipe Co  Com")</f>
        <v>Northwest Pipe Co  Com</v>
      </c>
      <c r="B489" s="12" t="str">
        <f>IFERROR(__xludf.DUMMYFUNCTION("""COMPUTED_VALUE"""),"NWPX-US")</f>
        <v>NWPX-US</v>
      </c>
      <c r="C489" s="12"/>
      <c r="D489" s="13">
        <f>IFERROR(__xludf.DUMMYFUNCTION("""COMPUTED_VALUE"""),45420.0)</f>
        <v>45420</v>
      </c>
      <c r="E489" s="13">
        <f>IFERROR(__xludf.DUMMYFUNCTION("""COMPUTED_VALUE"""),45820.0)</f>
        <v>45820</v>
      </c>
      <c r="F489" s="13">
        <f>IFERROR(__xludf.DUMMYFUNCTION("""COMPUTED_VALUE"""),45820.0)</f>
        <v>45820</v>
      </c>
      <c r="G489" s="15" t="s">
        <v>5150</v>
      </c>
      <c r="H489" s="15" t="s">
        <v>5150</v>
      </c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 t="str">
        <f>IFERROR(__xludf.DUMMYFUNCTION("""COMPUTED_VALUE"""),"Universal Insurance Hldgs Inc  Com")</f>
        <v>Universal Insurance Hldgs Inc  Com</v>
      </c>
      <c r="B490" s="12" t="str">
        <f>IFERROR(__xludf.DUMMYFUNCTION("""COMPUTED_VALUE"""),"UVE-US")</f>
        <v>UVE-US</v>
      </c>
      <c r="C490" s="12"/>
      <c r="D490" s="13">
        <f>IFERROR(__xludf.DUMMYFUNCTION("""COMPUTED_VALUE"""),45420.0)</f>
        <v>45420</v>
      </c>
      <c r="E490" s="13">
        <f>IFERROR(__xludf.DUMMYFUNCTION("""COMPUTED_VALUE"""),45820.0)</f>
        <v>45820</v>
      </c>
      <c r="F490" s="13">
        <f>IFERROR(__xludf.DUMMYFUNCTION("""COMPUTED_VALUE"""),45820.0)</f>
        <v>45820</v>
      </c>
      <c r="G490" s="15" t="s">
        <v>5150</v>
      </c>
      <c r="H490" s="15" t="s">
        <v>5150</v>
      </c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 t="str">
        <f>IFERROR(__xludf.DUMMYFUNCTION("""COMPUTED_VALUE"""),"Talkspace Inc  Cl A")</f>
        <v>Talkspace Inc  Cl A</v>
      </c>
      <c r="B491" s="12" t="str">
        <f>IFERROR(__xludf.DUMMYFUNCTION("""COMPUTED_VALUE"""),"TALK-US")</f>
        <v>TALK-US</v>
      </c>
      <c r="C491" s="12"/>
      <c r="D491" s="13">
        <f>IFERROR(__xludf.DUMMYFUNCTION("""COMPUTED_VALUE"""),45420.0)</f>
        <v>45420</v>
      </c>
      <c r="E491" s="13">
        <f>IFERROR(__xludf.DUMMYFUNCTION("""COMPUTED_VALUE"""),45826.0)</f>
        <v>45826</v>
      </c>
      <c r="F491" s="13">
        <f>IFERROR(__xludf.DUMMYFUNCTION("""COMPUTED_VALUE"""),45826.0)</f>
        <v>45826</v>
      </c>
      <c r="G491" s="15" t="s">
        <v>5150</v>
      </c>
      <c r="H491" s="15" t="s">
        <v>5150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 t="str">
        <f>IFERROR(__xludf.DUMMYFUNCTION("""COMPUTED_VALUE"""),"Indie Semiconductor Inc  Cl A")</f>
        <v>Indie Semiconductor Inc  Cl A</v>
      </c>
      <c r="B492" s="12" t="str">
        <f>IFERROR(__xludf.DUMMYFUNCTION("""COMPUTED_VALUE"""),"INDI-US")</f>
        <v>INDI-US</v>
      </c>
      <c r="C492" s="12"/>
      <c r="D492" s="13">
        <f>IFERROR(__xludf.DUMMYFUNCTION("""COMPUTED_VALUE"""),45420.0)</f>
        <v>45420</v>
      </c>
      <c r="E492" s="13">
        <f>IFERROR(__xludf.DUMMYFUNCTION("""COMPUTED_VALUE"""),45812.0)</f>
        <v>45812</v>
      </c>
      <c r="F492" s="13">
        <f>IFERROR(__xludf.DUMMYFUNCTION("""COMPUTED_VALUE"""),45812.0)</f>
        <v>45812</v>
      </c>
      <c r="G492" s="15" t="s">
        <v>5150</v>
      </c>
      <c r="H492" s="15" t="s">
        <v>5150</v>
      </c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 t="str">
        <f>IFERROR(__xludf.DUMMYFUNCTION("""COMPUTED_VALUE"""),"Entrada Therapeutics Inc  Com")</f>
        <v>Entrada Therapeutics Inc  Com</v>
      </c>
      <c r="B493" s="12" t="str">
        <f>IFERROR(__xludf.DUMMYFUNCTION("""COMPUTED_VALUE"""),"TRDA-US")</f>
        <v>TRDA-US</v>
      </c>
      <c r="C493" s="12"/>
      <c r="D493" s="13">
        <f>IFERROR(__xludf.DUMMYFUNCTION("""COMPUTED_VALUE"""),45420.0)</f>
        <v>45420</v>
      </c>
      <c r="E493" s="13">
        <f>IFERROR(__xludf.DUMMYFUNCTION("""COMPUTED_VALUE"""),45819.0)</f>
        <v>45819</v>
      </c>
      <c r="F493" s="13">
        <f>IFERROR(__xludf.DUMMYFUNCTION("""COMPUTED_VALUE"""),45819.0)</f>
        <v>45819</v>
      </c>
      <c r="G493" s="16" t="s">
        <v>5150</v>
      </c>
      <c r="H493" s="16" t="s">
        <v>5150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 t="str">
        <f>IFERROR(__xludf.DUMMYFUNCTION("""COMPUTED_VALUE"""),"Chicago Atlantic Real Estate  Com")</f>
        <v>Chicago Atlantic Real Estate  Com</v>
      </c>
      <c r="B494" s="12" t="str">
        <f>IFERROR(__xludf.DUMMYFUNCTION("""COMPUTED_VALUE"""),"REFI-US")</f>
        <v>REFI-US</v>
      </c>
      <c r="C494" s="12"/>
      <c r="D494" s="13">
        <f>IFERROR(__xludf.DUMMYFUNCTION("""COMPUTED_VALUE"""),45420.0)</f>
        <v>45420</v>
      </c>
      <c r="E494" s="13">
        <f>IFERROR(__xludf.DUMMYFUNCTION("""COMPUTED_VALUE"""),45821.0)</f>
        <v>45821</v>
      </c>
      <c r="F494" s="13">
        <f>IFERROR(__xludf.DUMMYFUNCTION("""COMPUTED_VALUE"""),45821.0)</f>
        <v>45821</v>
      </c>
      <c r="G494" s="15" t="s">
        <v>5150</v>
      </c>
      <c r="H494" s="16" t="s">
        <v>5150</v>
      </c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 t="str">
        <f>IFERROR(__xludf.DUMMYFUNCTION("""COMPUTED_VALUE"""),"Faro Technologies Inc  Com")</f>
        <v>Faro Technologies Inc  Com</v>
      </c>
      <c r="B495" s="12" t="str">
        <f>IFERROR(__xludf.DUMMYFUNCTION("""COMPUTED_VALUE"""),"FARO-US")</f>
        <v>FARO-US</v>
      </c>
      <c r="C495" s="12"/>
      <c r="D495" s="13">
        <f>IFERROR(__xludf.DUMMYFUNCTION("""COMPUTED_VALUE"""),45420.0)</f>
        <v>45420</v>
      </c>
      <c r="E495" s="13">
        <f>IFERROR(__xludf.DUMMYFUNCTION("""COMPUTED_VALUE"""),45798.0)</f>
        <v>45798</v>
      </c>
      <c r="F495" s="13">
        <f>IFERROR(__xludf.DUMMYFUNCTION("""COMPUTED_VALUE"""),45798.0)</f>
        <v>45798</v>
      </c>
      <c r="G495" s="15" t="s">
        <v>5150</v>
      </c>
      <c r="H495" s="15" t="s">
        <v>5150</v>
      </c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 t="str">
        <f>IFERROR(__xludf.DUMMYFUNCTION("""COMPUTED_VALUE"""),"Thryv Holdings Inc  Com")</f>
        <v>Thryv Holdings Inc  Com</v>
      </c>
      <c r="B496" s="12" t="str">
        <f>IFERROR(__xludf.DUMMYFUNCTION("""COMPUTED_VALUE"""),"THRY-US")</f>
        <v>THRY-US</v>
      </c>
      <c r="C496" s="12"/>
      <c r="D496" s="13">
        <f>IFERROR(__xludf.DUMMYFUNCTION("""COMPUTED_VALUE"""),45420.0)</f>
        <v>45420</v>
      </c>
      <c r="E496" s="13">
        <f>IFERROR(__xludf.DUMMYFUNCTION("""COMPUTED_VALUE"""),45820.0)</f>
        <v>45820</v>
      </c>
      <c r="F496" s="13">
        <f>IFERROR(__xludf.DUMMYFUNCTION("""COMPUTED_VALUE"""),45820.0)</f>
        <v>45820</v>
      </c>
      <c r="G496" s="15" t="s">
        <v>5150</v>
      </c>
      <c r="H496" s="15" t="s">
        <v>5150</v>
      </c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 t="str">
        <f>IFERROR(__xludf.DUMMYFUNCTION("""COMPUTED_VALUE"""),"Climb Global (Wayside) Solution  Com")</f>
        <v>Climb Global (Wayside) Solution  Com</v>
      </c>
      <c r="B497" s="12" t="str">
        <f>IFERROR(__xludf.DUMMYFUNCTION("""COMPUTED_VALUE"""),"CLMB-US")</f>
        <v>CLMB-US</v>
      </c>
      <c r="C497" s="12"/>
      <c r="D497" s="13">
        <f>IFERROR(__xludf.DUMMYFUNCTION("""COMPUTED_VALUE"""),45420.0)</f>
        <v>45420</v>
      </c>
      <c r="E497" s="13">
        <f>IFERROR(__xludf.DUMMYFUNCTION("""COMPUTED_VALUE"""),45811.0)</f>
        <v>45811</v>
      </c>
      <c r="F497" s="13">
        <f>IFERROR(__xludf.DUMMYFUNCTION("""COMPUTED_VALUE"""),45811.0)</f>
        <v>45811</v>
      </c>
      <c r="G497" s="15" t="s">
        <v>5150</v>
      </c>
      <c r="H497" s="15" t="s">
        <v>5150</v>
      </c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 t="str">
        <f>IFERROR(__xludf.DUMMYFUNCTION("""COMPUTED_VALUE"""),"Health Catalyst Inc  Com")</f>
        <v>Health Catalyst Inc  Com</v>
      </c>
      <c r="B498" s="12" t="str">
        <f>IFERROR(__xludf.DUMMYFUNCTION("""COMPUTED_VALUE"""),"HCAT-US")</f>
        <v>HCAT-US</v>
      </c>
      <c r="C498" s="12"/>
      <c r="D498" s="13">
        <f>IFERROR(__xludf.DUMMYFUNCTION("""COMPUTED_VALUE"""),45420.0)</f>
        <v>45420</v>
      </c>
      <c r="E498" s="13">
        <f>IFERROR(__xludf.DUMMYFUNCTION("""COMPUTED_VALUE"""),45847.0)</f>
        <v>45847</v>
      </c>
      <c r="F498" s="13">
        <f>IFERROR(__xludf.DUMMYFUNCTION("""COMPUTED_VALUE"""),45847.0)</f>
        <v>45847</v>
      </c>
      <c r="G498" s="15" t="s">
        <v>5150</v>
      </c>
      <c r="H498" s="15" t="s">
        <v>5150</v>
      </c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 t="str">
        <f>IFERROR(__xludf.DUMMYFUNCTION("""COMPUTED_VALUE"""),"Custom Truck One Source Inc  Com")</f>
        <v>Custom Truck One Source Inc  Com</v>
      </c>
      <c r="B499" s="12" t="str">
        <f>IFERROR(__xludf.DUMMYFUNCTION("""COMPUTED_VALUE"""),"CTOS-US")</f>
        <v>CTOS-US</v>
      </c>
      <c r="C499" s="12"/>
      <c r="D499" s="13">
        <f>IFERROR(__xludf.DUMMYFUNCTION("""COMPUTED_VALUE"""),45420.0)</f>
        <v>45420</v>
      </c>
      <c r="E499" s="13">
        <f>IFERROR(__xludf.DUMMYFUNCTION("""COMPUTED_VALUE"""),45820.0)</f>
        <v>45820</v>
      </c>
      <c r="F499" s="13">
        <f>IFERROR(__xludf.DUMMYFUNCTION("""COMPUTED_VALUE"""),45820.0)</f>
        <v>45820</v>
      </c>
      <c r="G499" s="15" t="s">
        <v>5150</v>
      </c>
      <c r="H499" s="15" t="s">
        <v>5150</v>
      </c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 t="str">
        <f>IFERROR(__xludf.DUMMYFUNCTION("""COMPUTED_VALUE"""),"Titan International Inc  Com")</f>
        <v>Titan International Inc  Com</v>
      </c>
      <c r="B500" s="12" t="str">
        <f>IFERROR(__xludf.DUMMYFUNCTION("""COMPUTED_VALUE"""),"TWI-US")</f>
        <v>TWI-US</v>
      </c>
      <c r="C500" s="12"/>
      <c r="D500" s="13">
        <f>IFERROR(__xludf.DUMMYFUNCTION("""COMPUTED_VALUE"""),45420.0)</f>
        <v>45420</v>
      </c>
      <c r="E500" s="13">
        <f>IFERROR(__xludf.DUMMYFUNCTION("""COMPUTED_VALUE"""),45819.0)</f>
        <v>45819</v>
      </c>
      <c r="F500" s="13">
        <f>IFERROR(__xludf.DUMMYFUNCTION("""COMPUTED_VALUE"""),45819.0)</f>
        <v>45819</v>
      </c>
      <c r="G500" s="16" t="s">
        <v>5150</v>
      </c>
      <c r="H500" s="15" t="s">
        <v>5150</v>
      </c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 t="str">
        <f>IFERROR(__xludf.DUMMYFUNCTION("""COMPUTED_VALUE"""),"Willdan Group Inc  Com")</f>
        <v>Willdan Group Inc  Com</v>
      </c>
      <c r="B501" s="12" t="str">
        <f>IFERROR(__xludf.DUMMYFUNCTION("""COMPUTED_VALUE"""),"WLDN-US")</f>
        <v>WLDN-US</v>
      </c>
      <c r="C501" s="12"/>
      <c r="D501" s="13">
        <f>IFERROR(__xludf.DUMMYFUNCTION("""COMPUTED_VALUE"""),45420.0)</f>
        <v>45420</v>
      </c>
      <c r="E501" s="13">
        <f>IFERROR(__xludf.DUMMYFUNCTION("""COMPUTED_VALUE"""),45820.0)</f>
        <v>45820</v>
      </c>
      <c r="F501" s="13">
        <f>IFERROR(__xludf.DUMMYFUNCTION("""COMPUTED_VALUE"""),45820.0)</f>
        <v>45820</v>
      </c>
      <c r="G501" s="15" t="s">
        <v>5150</v>
      </c>
      <c r="H501" s="15" t="s">
        <v>5150</v>
      </c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 t="str">
        <f>IFERROR(__xludf.DUMMYFUNCTION("""COMPUTED_VALUE"""),"Olema Pharmaceuticals Inc  Com")</f>
        <v>Olema Pharmaceuticals Inc  Com</v>
      </c>
      <c r="B502" s="12" t="str">
        <f>IFERROR(__xludf.DUMMYFUNCTION("""COMPUTED_VALUE"""),"OLMA-US")</f>
        <v>OLMA-US</v>
      </c>
      <c r="C502" s="12"/>
      <c r="D502" s="13">
        <f>IFERROR(__xludf.DUMMYFUNCTION("""COMPUTED_VALUE"""),45420.0)</f>
        <v>45420</v>
      </c>
      <c r="E502" s="13">
        <f>IFERROR(__xludf.DUMMYFUNCTION("""COMPUTED_VALUE"""),45818.0)</f>
        <v>45818</v>
      </c>
      <c r="F502" s="13">
        <f>IFERROR(__xludf.DUMMYFUNCTION("""COMPUTED_VALUE"""),45818.0)</f>
        <v>45818</v>
      </c>
      <c r="G502" s="15" t="s">
        <v>5150</v>
      </c>
      <c r="H502" s="15" t="s">
        <v>5150</v>
      </c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 t="str">
        <f>IFERROR(__xludf.DUMMYFUNCTION("""COMPUTED_VALUE"""),"Design Therapeutics Inc  Com")</f>
        <v>Design Therapeutics Inc  Com</v>
      </c>
      <c r="B503" s="12" t="str">
        <f>IFERROR(__xludf.DUMMYFUNCTION("""COMPUTED_VALUE"""),"DSGN-US")</f>
        <v>DSGN-US</v>
      </c>
      <c r="C503" s="12"/>
      <c r="D503" s="13">
        <f>IFERROR(__xludf.DUMMYFUNCTION("""COMPUTED_VALUE"""),45420.0)</f>
        <v>45420</v>
      </c>
      <c r="E503" s="13">
        <f>IFERROR(__xludf.DUMMYFUNCTION("""COMPUTED_VALUE"""),45818.0)</f>
        <v>45818</v>
      </c>
      <c r="F503" s="13">
        <f>IFERROR(__xludf.DUMMYFUNCTION("""COMPUTED_VALUE"""),45818.0)</f>
        <v>45818</v>
      </c>
      <c r="G503" s="15" t="s">
        <v>5150</v>
      </c>
      <c r="H503" s="15" t="s">
        <v>5150</v>
      </c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 t="str">
        <f>IFERROR(__xludf.DUMMYFUNCTION("""COMPUTED_VALUE"""),"Compass Therapeutics Inc  Com")</f>
        <v>Compass Therapeutics Inc  Com</v>
      </c>
      <c r="B504" s="12" t="str">
        <f>IFERROR(__xludf.DUMMYFUNCTION("""COMPUTED_VALUE"""),"CMPX-US")</f>
        <v>CMPX-US</v>
      </c>
      <c r="C504" s="12"/>
      <c r="D504" s="13">
        <f>IFERROR(__xludf.DUMMYFUNCTION("""COMPUTED_VALUE"""),45420.0)</f>
        <v>45420</v>
      </c>
      <c r="E504" s="13">
        <f>IFERROR(__xludf.DUMMYFUNCTION("""COMPUTED_VALUE"""),45819.0)</f>
        <v>45819</v>
      </c>
      <c r="F504" s="13">
        <f>IFERROR(__xludf.DUMMYFUNCTION("""COMPUTED_VALUE"""),45819.0)</f>
        <v>45819</v>
      </c>
      <c r="G504" s="15" t="s">
        <v>5150</v>
      </c>
      <c r="H504" s="15" t="s">
        <v>5150</v>
      </c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 t="str">
        <f>IFERROR(__xludf.DUMMYFUNCTION("""COMPUTED_VALUE"""),"Heron Therapeutics Inc  Com")</f>
        <v>Heron Therapeutics Inc  Com</v>
      </c>
      <c r="B505" s="12" t="str">
        <f>IFERROR(__xludf.DUMMYFUNCTION("""COMPUTED_VALUE"""),"HRTX-US")</f>
        <v>HRTX-US</v>
      </c>
      <c r="C505" s="12"/>
      <c r="D505" s="13">
        <f>IFERROR(__xludf.DUMMYFUNCTION("""COMPUTED_VALUE"""),45420.0)</f>
        <v>45420</v>
      </c>
      <c r="E505" s="13">
        <f>IFERROR(__xludf.DUMMYFUNCTION("""COMPUTED_VALUE"""),45820.0)</f>
        <v>45820</v>
      </c>
      <c r="F505" s="13">
        <f>IFERROR(__xludf.DUMMYFUNCTION("""COMPUTED_VALUE"""),45820.0)</f>
        <v>45820</v>
      </c>
      <c r="G505" s="15" t="s">
        <v>5150</v>
      </c>
      <c r="H505" s="15" t="s">
        <v>5150</v>
      </c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 t="str">
        <f>IFERROR(__xludf.DUMMYFUNCTION("""COMPUTED_VALUE"""),"Cs Disco Inc  Com")</f>
        <v>Cs Disco Inc  Com</v>
      </c>
      <c r="B506" s="12" t="str">
        <f>IFERROR(__xludf.DUMMYFUNCTION("""COMPUTED_VALUE"""),"LAW-US")</f>
        <v>LAW-US</v>
      </c>
      <c r="C506" s="12"/>
      <c r="D506" s="13">
        <f>IFERROR(__xludf.DUMMYFUNCTION("""COMPUTED_VALUE"""),45420.0)</f>
        <v>45420</v>
      </c>
      <c r="E506" s="13">
        <f>IFERROR(__xludf.DUMMYFUNCTION("""COMPUTED_VALUE"""),45818.0)</f>
        <v>45818</v>
      </c>
      <c r="F506" s="13">
        <f>IFERROR(__xludf.DUMMYFUNCTION("""COMPUTED_VALUE"""),45818.0)</f>
        <v>45818</v>
      </c>
      <c r="G506" s="15" t="s">
        <v>5150</v>
      </c>
      <c r="H506" s="15" t="s">
        <v>5150</v>
      </c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 t="str">
        <f>IFERROR(__xludf.DUMMYFUNCTION("""COMPUTED_VALUE"""),"Omega Flex Inc  Com")</f>
        <v>Omega Flex Inc  Com</v>
      </c>
      <c r="B507" s="12" t="str">
        <f>IFERROR(__xludf.DUMMYFUNCTION("""COMPUTED_VALUE"""),"OFLX-US")</f>
        <v>OFLX-US</v>
      </c>
      <c r="C507" s="12"/>
      <c r="D507" s="13">
        <f>IFERROR(__xludf.DUMMYFUNCTION("""COMPUTED_VALUE"""),45420.0)</f>
        <v>45420</v>
      </c>
      <c r="E507" s="13">
        <f>IFERROR(__xludf.DUMMYFUNCTION("""COMPUTED_VALUE"""),45826.0)</f>
        <v>45826</v>
      </c>
      <c r="F507" s="13">
        <f>IFERROR(__xludf.DUMMYFUNCTION("""COMPUTED_VALUE"""),45826.0)</f>
        <v>45826</v>
      </c>
      <c r="G507" s="15" t="s">
        <v>5150</v>
      </c>
      <c r="H507" s="15" t="s">
        <v>5150</v>
      </c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 t="str">
        <f>IFERROR(__xludf.DUMMYFUNCTION("""COMPUTED_VALUE"""),"Caribou Biosciences Inc  Com")</f>
        <v>Caribou Biosciences Inc  Com</v>
      </c>
      <c r="B508" s="12" t="str">
        <f>IFERROR(__xludf.DUMMYFUNCTION("""COMPUTED_VALUE"""),"CRBU-US")</f>
        <v>CRBU-US</v>
      </c>
      <c r="C508" s="12"/>
      <c r="D508" s="13">
        <f>IFERROR(__xludf.DUMMYFUNCTION("""COMPUTED_VALUE"""),45420.0)</f>
        <v>45420</v>
      </c>
      <c r="E508" s="13">
        <f>IFERROR(__xludf.DUMMYFUNCTION("""COMPUTED_VALUE"""),45820.0)</f>
        <v>45820</v>
      </c>
      <c r="F508" s="13">
        <f>IFERROR(__xludf.DUMMYFUNCTION("""COMPUTED_VALUE"""),45820.0)</f>
        <v>45820</v>
      </c>
      <c r="G508" s="15" t="s">
        <v>5150</v>
      </c>
      <c r="H508" s="15" t="s">
        <v>5150</v>
      </c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 t="str">
        <f>IFERROR(__xludf.DUMMYFUNCTION("""COMPUTED_VALUE"""),"Outbrain Inc  Com")</f>
        <v>Outbrain Inc  Com</v>
      </c>
      <c r="B509" s="12" t="str">
        <f>IFERROR(__xludf.DUMMYFUNCTION("""COMPUTED_VALUE"""),"OB-US")</f>
        <v>OB-US</v>
      </c>
      <c r="C509" s="12"/>
      <c r="D509" s="13">
        <f>IFERROR(__xludf.DUMMYFUNCTION("""COMPUTED_VALUE"""),45420.0)</f>
        <v>45420</v>
      </c>
      <c r="E509" s="13">
        <f>IFERROR(__xludf.DUMMYFUNCTION("""COMPUTED_VALUE"""),45813.0)</f>
        <v>45813</v>
      </c>
      <c r="F509" s="13">
        <f>IFERROR(__xludf.DUMMYFUNCTION("""COMPUTED_VALUE"""),45813.0)</f>
        <v>45813</v>
      </c>
      <c r="G509" s="15" t="s">
        <v>5150</v>
      </c>
      <c r="H509" s="15" t="s">
        <v>5150</v>
      </c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 t="str">
        <f>IFERROR(__xludf.DUMMYFUNCTION("""COMPUTED_VALUE"""),"Nkarta Inc  Com")</f>
        <v>Nkarta Inc  Com</v>
      </c>
      <c r="B510" s="12" t="str">
        <f>IFERROR(__xludf.DUMMYFUNCTION("""COMPUTED_VALUE"""),"NKTX-US")</f>
        <v>NKTX-US</v>
      </c>
      <c r="C510" s="12"/>
      <c r="D510" s="13">
        <f>IFERROR(__xludf.DUMMYFUNCTION("""COMPUTED_VALUE"""),45420.0)</f>
        <v>45420</v>
      </c>
      <c r="E510" s="13">
        <f>IFERROR(__xludf.DUMMYFUNCTION("""COMPUTED_VALUE"""),45813.0)</f>
        <v>45813</v>
      </c>
      <c r="F510" s="13">
        <f>IFERROR(__xludf.DUMMYFUNCTION("""COMPUTED_VALUE"""),45813.0)</f>
        <v>45813</v>
      </c>
      <c r="G510" s="16" t="s">
        <v>5155</v>
      </c>
      <c r="H510" s="16" t="s">
        <v>5155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 t="str">
        <f>IFERROR(__xludf.DUMMYFUNCTION("""COMPUTED_VALUE"""),"908 Devices Inc  Com")</f>
        <v>908 Devices Inc  Com</v>
      </c>
      <c r="B511" s="12" t="str">
        <f>IFERROR(__xludf.DUMMYFUNCTION("""COMPUTED_VALUE"""),"MASS-US")</f>
        <v>MASS-US</v>
      </c>
      <c r="C511" s="12"/>
      <c r="D511" s="13">
        <f>IFERROR(__xludf.DUMMYFUNCTION("""COMPUTED_VALUE"""),45420.0)</f>
        <v>45420</v>
      </c>
      <c r="E511" s="13">
        <f>IFERROR(__xludf.DUMMYFUNCTION("""COMPUTED_VALUE"""),45820.0)</f>
        <v>45820</v>
      </c>
      <c r="F511" s="13">
        <f>IFERROR(__xludf.DUMMYFUNCTION("""COMPUTED_VALUE"""),45820.0)</f>
        <v>45820</v>
      </c>
      <c r="G511" s="15" t="s">
        <v>5150</v>
      </c>
      <c r="H511" s="15" t="s">
        <v>5150</v>
      </c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 t="str">
        <f>IFERROR(__xludf.DUMMYFUNCTION("""COMPUTED_VALUE"""),"Caterpillar Inc  Com")</f>
        <v>Caterpillar Inc  Com</v>
      </c>
      <c r="B512" s="12" t="str">
        <f>IFERROR(__xludf.DUMMYFUNCTION("""COMPUTED_VALUE"""),"CAT-US")</f>
        <v>CAT-US</v>
      </c>
      <c r="C512" s="12"/>
      <c r="D512" s="13">
        <f>IFERROR(__xludf.DUMMYFUNCTION("""COMPUTED_VALUE"""),45420.0)</f>
        <v>45420</v>
      </c>
      <c r="E512" s="13">
        <f>IFERROR(__xludf.DUMMYFUNCTION("""COMPUTED_VALUE"""),45819.0)</f>
        <v>45819</v>
      </c>
      <c r="F512" s="13">
        <f>IFERROR(__xludf.DUMMYFUNCTION("""COMPUTED_VALUE"""),45819.0)</f>
        <v>45819</v>
      </c>
      <c r="G512" s="15" t="s">
        <v>5150</v>
      </c>
      <c r="H512" s="15" t="s">
        <v>5150</v>
      </c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 t="str">
        <f>IFERROR(__xludf.DUMMYFUNCTION("""COMPUTED_VALUE"""),"T Mobile Us Inc  Com")</f>
        <v>T Mobile Us Inc  Com</v>
      </c>
      <c r="B513" s="12" t="str">
        <f>IFERROR(__xludf.DUMMYFUNCTION("""COMPUTED_VALUE"""),"TMUS-US")</f>
        <v>TMUS-US</v>
      </c>
      <c r="C513" s="12"/>
      <c r="D513" s="13">
        <f>IFERROR(__xludf.DUMMYFUNCTION("""COMPUTED_VALUE"""),45420.0)</f>
        <v>45420</v>
      </c>
      <c r="E513" s="13">
        <f>IFERROR(__xludf.DUMMYFUNCTION("""COMPUTED_VALUE"""),45814.0)</f>
        <v>45814</v>
      </c>
      <c r="F513" s="13">
        <f>IFERROR(__xludf.DUMMYFUNCTION("""COMPUTED_VALUE"""),45814.0)</f>
        <v>45814</v>
      </c>
      <c r="G513" s="15" t="s">
        <v>5150</v>
      </c>
      <c r="H513" s="15" t="s">
        <v>5150</v>
      </c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 t="str">
        <f>IFERROR(__xludf.DUMMYFUNCTION("""COMPUTED_VALUE"""),"Target Corp  Com")</f>
        <v>Target Corp  Com</v>
      </c>
      <c r="B514" s="12" t="str">
        <f>IFERROR(__xludf.DUMMYFUNCTION("""COMPUTED_VALUE"""),"TGT-US")</f>
        <v>TGT-US</v>
      </c>
      <c r="C514" s="12"/>
      <c r="D514" s="13">
        <f>IFERROR(__xludf.DUMMYFUNCTION("""COMPUTED_VALUE"""),45420.0)</f>
        <v>45420</v>
      </c>
      <c r="E514" s="13">
        <f>IFERROR(__xludf.DUMMYFUNCTION("""COMPUTED_VALUE"""),45819.0)</f>
        <v>45819</v>
      </c>
      <c r="F514" s="13">
        <f>IFERROR(__xludf.DUMMYFUNCTION("""COMPUTED_VALUE"""),45819.0)</f>
        <v>45819</v>
      </c>
      <c r="G514" s="15" t="s">
        <v>5150</v>
      </c>
      <c r="H514" s="15" t="s">
        <v>5150</v>
      </c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 t="str">
        <f>IFERROR(__xludf.DUMMYFUNCTION("""COMPUTED_VALUE"""),"Roper Technologies Inc  Com")</f>
        <v>Roper Technologies Inc  Com</v>
      </c>
      <c r="B515" s="12" t="str">
        <f>IFERROR(__xludf.DUMMYFUNCTION("""COMPUTED_VALUE"""),"ROP-US")</f>
        <v>ROP-US</v>
      </c>
      <c r="C515" s="12"/>
      <c r="D515" s="13">
        <f>IFERROR(__xludf.DUMMYFUNCTION("""COMPUTED_VALUE"""),45420.0)</f>
        <v>45420</v>
      </c>
      <c r="E515" s="13">
        <f>IFERROR(__xludf.DUMMYFUNCTION("""COMPUTED_VALUE"""),45818.0)</f>
        <v>45818</v>
      </c>
      <c r="F515" s="13">
        <f>IFERROR(__xludf.DUMMYFUNCTION("""COMPUTED_VALUE"""),45818.0)</f>
        <v>45818</v>
      </c>
      <c r="G515" s="15" t="s">
        <v>5150</v>
      </c>
      <c r="H515" s="15" t="s">
        <v>5150</v>
      </c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 t="str">
        <f>IFERROR(__xludf.DUMMYFUNCTION("""COMPUTED_VALUE"""),"Veeva Systems Inc  Cl A")</f>
        <v>Veeva Systems Inc  Cl A</v>
      </c>
      <c r="B516" s="12" t="str">
        <f>IFERROR(__xludf.DUMMYFUNCTION("""COMPUTED_VALUE"""),"VEEV-US")</f>
        <v>VEEV-US</v>
      </c>
      <c r="C516" s="12"/>
      <c r="D516" s="13">
        <f>IFERROR(__xludf.DUMMYFUNCTION("""COMPUTED_VALUE"""),45420.0)</f>
        <v>45420</v>
      </c>
      <c r="E516" s="13">
        <f>IFERROR(__xludf.DUMMYFUNCTION("""COMPUTED_VALUE"""),45826.0)</f>
        <v>45826</v>
      </c>
      <c r="F516" s="13">
        <f>IFERROR(__xludf.DUMMYFUNCTION("""COMPUTED_VALUE"""),45826.0)</f>
        <v>45826</v>
      </c>
      <c r="G516" s="15" t="s">
        <v>5150</v>
      </c>
      <c r="H516" s="15" t="s">
        <v>5150</v>
      </c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 t="str">
        <f>IFERROR(__xludf.DUMMYFUNCTION("""COMPUTED_VALUE"""),"Pure Storage Inc  Cl A")</f>
        <v>Pure Storage Inc  Cl A</v>
      </c>
      <c r="B517" s="12" t="str">
        <f>IFERROR(__xludf.DUMMYFUNCTION("""COMPUTED_VALUE"""),"PSTG-US")</f>
        <v>PSTG-US</v>
      </c>
      <c r="C517" s="12"/>
      <c r="D517" s="13">
        <f>IFERROR(__xludf.DUMMYFUNCTION("""COMPUTED_VALUE"""),45420.0)</f>
        <v>45420</v>
      </c>
      <c r="E517" s="13">
        <f>IFERROR(__xludf.DUMMYFUNCTION("""COMPUTED_VALUE"""),45819.0)</f>
        <v>45819</v>
      </c>
      <c r="F517" s="13">
        <f>IFERROR(__xludf.DUMMYFUNCTION("""COMPUTED_VALUE"""),45819.0)</f>
        <v>45819</v>
      </c>
      <c r="G517" s="15" t="s">
        <v>5150</v>
      </c>
      <c r="H517" s="15" t="s">
        <v>5150</v>
      </c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 t="str">
        <f>IFERROR(__xludf.DUMMYFUNCTION("""COMPUTED_VALUE"""),"Natera Inc  Com")</f>
        <v>Natera Inc  Com</v>
      </c>
      <c r="B518" s="12" t="str">
        <f>IFERROR(__xludf.DUMMYFUNCTION("""COMPUTED_VALUE"""),"NTRA-US")</f>
        <v>NTRA-US</v>
      </c>
      <c r="C518" s="12"/>
      <c r="D518" s="13">
        <f>IFERROR(__xludf.DUMMYFUNCTION("""COMPUTED_VALUE"""),45420.0)</f>
        <v>45420</v>
      </c>
      <c r="E518" s="13">
        <f>IFERROR(__xludf.DUMMYFUNCTION("""COMPUTED_VALUE"""),45820.0)</f>
        <v>45820</v>
      </c>
      <c r="F518" s="13">
        <f>IFERROR(__xludf.DUMMYFUNCTION("""COMPUTED_VALUE"""),45820.0)</f>
        <v>45820</v>
      </c>
      <c r="G518" s="15" t="s">
        <v>5150</v>
      </c>
      <c r="H518" s="15" t="s">
        <v>5150</v>
      </c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 t="str">
        <f>IFERROR(__xludf.DUMMYFUNCTION("""COMPUTED_VALUE"""),"Best Buy Inc  Com")</f>
        <v>Best Buy Inc  Com</v>
      </c>
      <c r="B519" s="12" t="str">
        <f>IFERROR(__xludf.DUMMYFUNCTION("""COMPUTED_VALUE"""),"BBY-US")</f>
        <v>BBY-US</v>
      </c>
      <c r="C519" s="12"/>
      <c r="D519" s="13">
        <f>IFERROR(__xludf.DUMMYFUNCTION("""COMPUTED_VALUE"""),45420.0)</f>
        <v>45420</v>
      </c>
      <c r="E519" s="13">
        <f>IFERROR(__xludf.DUMMYFUNCTION("""COMPUTED_VALUE"""),45821.0)</f>
        <v>45821</v>
      </c>
      <c r="F519" s="13">
        <f>IFERROR(__xludf.DUMMYFUNCTION("""COMPUTED_VALUE"""),45821.0)</f>
        <v>45821</v>
      </c>
      <c r="G519" s="15" t="s">
        <v>5150</v>
      </c>
      <c r="H519" s="15" t="s">
        <v>5150</v>
      </c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 t="str">
        <f>IFERROR(__xludf.DUMMYFUNCTION("""COMPUTED_VALUE"""),"W R Berkley Corp  Com")</f>
        <v>W R Berkley Corp  Com</v>
      </c>
      <c r="B520" s="12" t="str">
        <f>IFERROR(__xludf.DUMMYFUNCTION("""COMPUTED_VALUE"""),"WRB-US")</f>
        <v>WRB-US</v>
      </c>
      <c r="C520" s="12"/>
      <c r="D520" s="13">
        <f>IFERROR(__xludf.DUMMYFUNCTION("""COMPUTED_VALUE"""),45420.0)</f>
        <v>45420</v>
      </c>
      <c r="E520" s="13">
        <f>IFERROR(__xludf.DUMMYFUNCTION("""COMPUTED_VALUE"""),45819.0)</f>
        <v>45819</v>
      </c>
      <c r="F520" s="13">
        <f>IFERROR(__xludf.DUMMYFUNCTION("""COMPUTED_VALUE"""),45819.0)</f>
        <v>45819</v>
      </c>
      <c r="G520" s="15" t="s">
        <v>5150</v>
      </c>
      <c r="H520" s="15" t="s">
        <v>5150</v>
      </c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 t="str">
        <f>IFERROR(__xludf.DUMMYFUNCTION("""COMPUTED_VALUE"""),"Fidelity National Finl  Fnf Grp Com")</f>
        <v>Fidelity National Finl  Fnf Grp Com</v>
      </c>
      <c r="B521" s="12" t="str">
        <f>IFERROR(__xludf.DUMMYFUNCTION("""COMPUTED_VALUE"""),"FNF-US")</f>
        <v>FNF-US</v>
      </c>
      <c r="C521" s="12"/>
      <c r="D521" s="13">
        <f>IFERROR(__xludf.DUMMYFUNCTION("""COMPUTED_VALUE"""),45420.0)</f>
        <v>45420</v>
      </c>
      <c r="E521" s="13">
        <f>IFERROR(__xludf.DUMMYFUNCTION("""COMPUTED_VALUE"""),45819.0)</f>
        <v>45819</v>
      </c>
      <c r="F521" s="13">
        <f>IFERROR(__xludf.DUMMYFUNCTION("""COMPUTED_VALUE"""),45819.0)</f>
        <v>45819</v>
      </c>
      <c r="G521" s="15" t="s">
        <v>5150</v>
      </c>
      <c r="H521" s="15" t="s">
        <v>5150</v>
      </c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 t="str">
        <f>IFERROR(__xludf.DUMMYFUNCTION("""COMPUTED_VALUE"""),"Dicks Sporting Goods Inc  Com")</f>
        <v>Dicks Sporting Goods Inc  Com</v>
      </c>
      <c r="B522" s="12" t="str">
        <f>IFERROR(__xludf.DUMMYFUNCTION("""COMPUTED_VALUE"""),"DKS-US")</f>
        <v>DKS-US</v>
      </c>
      <c r="C522" s="12"/>
      <c r="D522" s="13">
        <f>IFERROR(__xludf.DUMMYFUNCTION("""COMPUTED_VALUE"""),45420.0)</f>
        <v>45420</v>
      </c>
      <c r="E522" s="13">
        <f>IFERROR(__xludf.DUMMYFUNCTION("""COMPUTED_VALUE"""),45819.0)</f>
        <v>45819</v>
      </c>
      <c r="F522" s="13">
        <f>IFERROR(__xludf.DUMMYFUNCTION("""COMPUTED_VALUE"""),45819.0)</f>
        <v>45819</v>
      </c>
      <c r="G522" s="15" t="s">
        <v>5150</v>
      </c>
      <c r="H522" s="15" t="s">
        <v>5150</v>
      </c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 t="str">
        <f>IFERROR(__xludf.DUMMYFUNCTION("""COMPUTED_VALUE"""),"Duolingo Inc  Cl A")</f>
        <v>Duolingo Inc  Cl A</v>
      </c>
      <c r="B523" s="12" t="str">
        <f>IFERROR(__xludf.DUMMYFUNCTION("""COMPUTED_VALUE"""),"DUOL-US")</f>
        <v>DUOL-US</v>
      </c>
      <c r="C523" s="12"/>
      <c r="D523" s="13">
        <f>IFERROR(__xludf.DUMMYFUNCTION("""COMPUTED_VALUE"""),45420.0)</f>
        <v>45420</v>
      </c>
      <c r="E523" s="13">
        <f>IFERROR(__xludf.DUMMYFUNCTION("""COMPUTED_VALUE"""),45819.0)</f>
        <v>45819</v>
      </c>
      <c r="F523" s="13">
        <f>IFERROR(__xludf.DUMMYFUNCTION("""COMPUTED_VALUE"""),45819.0)</f>
        <v>45819</v>
      </c>
      <c r="G523" s="15" t="s">
        <v>5150</v>
      </c>
      <c r="H523" s="15" t="s">
        <v>5150</v>
      </c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 t="str">
        <f>IFERROR(__xludf.DUMMYFUNCTION("""COMPUTED_VALUE"""),"Incyte Corp  Com")</f>
        <v>Incyte Corp  Com</v>
      </c>
      <c r="B524" s="12" t="str">
        <f>IFERROR(__xludf.DUMMYFUNCTION("""COMPUTED_VALUE"""),"INCY-US")</f>
        <v>INCY-US</v>
      </c>
      <c r="C524" s="12"/>
      <c r="D524" s="13">
        <f>IFERROR(__xludf.DUMMYFUNCTION("""COMPUTED_VALUE"""),45420.0)</f>
        <v>45420</v>
      </c>
      <c r="E524" s="13">
        <f>IFERROR(__xludf.DUMMYFUNCTION("""COMPUTED_VALUE"""),45818.0)</f>
        <v>45818</v>
      </c>
      <c r="F524" s="13">
        <f>IFERROR(__xludf.DUMMYFUNCTION("""COMPUTED_VALUE"""),45818.0)</f>
        <v>45818</v>
      </c>
      <c r="G524" s="15" t="s">
        <v>5150</v>
      </c>
      <c r="H524" s="15" t="s">
        <v>5150</v>
      </c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 t="str">
        <f>IFERROR(__xludf.DUMMYFUNCTION("""COMPUTED_VALUE"""),"Tko Group Holdings Inc  Cl A")</f>
        <v>Tko Group Holdings Inc  Cl A</v>
      </c>
      <c r="B525" s="12" t="str">
        <f>IFERROR(__xludf.DUMMYFUNCTION("""COMPUTED_VALUE"""),"TKO-US")</f>
        <v>TKO-US</v>
      </c>
      <c r="C525" s="12"/>
      <c r="D525" s="13">
        <f>IFERROR(__xludf.DUMMYFUNCTION("""COMPUTED_VALUE"""),45420.0)</f>
        <v>45420</v>
      </c>
      <c r="E525" s="13">
        <f>IFERROR(__xludf.DUMMYFUNCTION("""COMPUTED_VALUE"""),45820.0)</f>
        <v>45820</v>
      </c>
      <c r="F525" s="13">
        <f>IFERROR(__xludf.DUMMYFUNCTION("""COMPUTED_VALUE"""),45820.0)</f>
        <v>45820</v>
      </c>
      <c r="G525" s="15" t="s">
        <v>5150</v>
      </c>
      <c r="H525" s="15" t="s">
        <v>5150</v>
      </c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 t="str">
        <f>IFERROR(__xludf.DUMMYFUNCTION("""COMPUTED_VALUE"""),"Western Alliance Bancorp  Com")</f>
        <v>Western Alliance Bancorp  Com</v>
      </c>
      <c r="B526" s="12" t="str">
        <f>IFERROR(__xludf.DUMMYFUNCTION("""COMPUTED_VALUE"""),"WAL-US")</f>
        <v>WAL-US</v>
      </c>
      <c r="C526" s="12"/>
      <c r="D526" s="13">
        <f>IFERROR(__xludf.DUMMYFUNCTION("""COMPUTED_VALUE"""),45420.0)</f>
        <v>45420</v>
      </c>
      <c r="E526" s="13">
        <f>IFERROR(__xludf.DUMMYFUNCTION("""COMPUTED_VALUE"""),45819.0)</f>
        <v>45819</v>
      </c>
      <c r="F526" s="13">
        <f>IFERROR(__xludf.DUMMYFUNCTION("""COMPUTED_VALUE"""),45819.0)</f>
        <v>45819</v>
      </c>
      <c r="G526" s="15" t="s">
        <v>5150</v>
      </c>
      <c r="H526" s="15" t="s">
        <v>5150</v>
      </c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 t="str">
        <f>IFERROR(__xludf.DUMMYFUNCTION("""COMPUTED_VALUE"""),"Abercrombie &amp; Fitch Co  Cl A")</f>
        <v>Abercrombie &amp; Fitch Co  Cl A</v>
      </c>
      <c r="B527" s="12" t="str">
        <f>IFERROR(__xludf.DUMMYFUNCTION("""COMPUTED_VALUE"""),"ANF-US")</f>
        <v>ANF-US</v>
      </c>
      <c r="C527" s="12"/>
      <c r="D527" s="13">
        <f>IFERROR(__xludf.DUMMYFUNCTION("""COMPUTED_VALUE"""),45420.0)</f>
        <v>45420</v>
      </c>
      <c r="E527" s="13">
        <f>IFERROR(__xludf.DUMMYFUNCTION("""COMPUTED_VALUE"""),45819.0)</f>
        <v>45819</v>
      </c>
      <c r="F527" s="13">
        <f>IFERROR(__xludf.DUMMYFUNCTION("""COMPUTED_VALUE"""),45819.0)</f>
        <v>45819</v>
      </c>
      <c r="G527" s="15" t="s">
        <v>5150</v>
      </c>
      <c r="H527" s="15" t="s">
        <v>5150</v>
      </c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 t="str">
        <f>IFERROR(__xludf.DUMMYFUNCTION("""COMPUTED_VALUE"""),"Confluent Inc  Cl A")</f>
        <v>Confluent Inc  Cl A</v>
      </c>
      <c r="B528" s="12" t="str">
        <f>IFERROR(__xludf.DUMMYFUNCTION("""COMPUTED_VALUE"""),"CFLT-US")</f>
        <v>CFLT-US</v>
      </c>
      <c r="C528" s="12"/>
      <c r="D528" s="13">
        <f>IFERROR(__xludf.DUMMYFUNCTION("""COMPUTED_VALUE"""),45420.0)</f>
        <v>45420</v>
      </c>
      <c r="E528" s="13">
        <f>IFERROR(__xludf.DUMMYFUNCTION("""COMPUTED_VALUE"""),45819.0)</f>
        <v>45819</v>
      </c>
      <c r="F528" s="13">
        <f>IFERROR(__xludf.DUMMYFUNCTION("""COMPUTED_VALUE"""),45819.0)</f>
        <v>45819</v>
      </c>
      <c r="G528" s="15" t="s">
        <v>5150</v>
      </c>
      <c r="H528" s="15" t="s">
        <v>5150</v>
      </c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 t="str">
        <f>IFERROR(__xludf.DUMMYFUNCTION("""COMPUTED_VALUE"""),"Soundhound Ai Inc  Cl A")</f>
        <v>Soundhound Ai Inc  Cl A</v>
      </c>
      <c r="B529" s="12" t="str">
        <f>IFERROR(__xludf.DUMMYFUNCTION("""COMPUTED_VALUE"""),"SOUN-US")</f>
        <v>SOUN-US</v>
      </c>
      <c r="C529" s="12"/>
      <c r="D529" s="13">
        <f>IFERROR(__xludf.DUMMYFUNCTION("""COMPUTED_VALUE"""),45420.0)</f>
        <v>45420</v>
      </c>
      <c r="E529" s="13">
        <f>IFERROR(__xludf.DUMMYFUNCTION("""COMPUTED_VALUE"""),45800.0)</f>
        <v>45800</v>
      </c>
      <c r="F529" s="13">
        <f>IFERROR(__xludf.DUMMYFUNCTION("""COMPUTED_VALUE"""),45800.0)</f>
        <v>45800</v>
      </c>
      <c r="G529" s="15" t="s">
        <v>5150</v>
      </c>
      <c r="H529" s="15" t="s">
        <v>5150</v>
      </c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 t="str">
        <f>IFERROR(__xludf.DUMMYFUNCTION("""COMPUTED_VALUE"""),"Onemain Holdings Inc  Com")</f>
        <v>Onemain Holdings Inc  Com</v>
      </c>
      <c r="B530" s="12" t="str">
        <f>IFERROR(__xludf.DUMMYFUNCTION("""COMPUTED_VALUE"""),"OMF-US")</f>
        <v>OMF-US</v>
      </c>
      <c r="C530" s="12"/>
      <c r="D530" s="13">
        <f>IFERROR(__xludf.DUMMYFUNCTION("""COMPUTED_VALUE"""),45420.0)</f>
        <v>45420</v>
      </c>
      <c r="E530" s="13">
        <f>IFERROR(__xludf.DUMMYFUNCTION("""COMPUTED_VALUE"""),45818.0)</f>
        <v>45818</v>
      </c>
      <c r="F530" s="13">
        <f>IFERROR(__xludf.DUMMYFUNCTION("""COMPUTED_VALUE"""),45818.0)</f>
        <v>45818</v>
      </c>
      <c r="G530" s="15" t="s">
        <v>5150</v>
      </c>
      <c r="H530" s="15" t="s">
        <v>5150</v>
      </c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 t="str">
        <f>IFERROR(__xludf.DUMMYFUNCTION("""COMPUTED_VALUE"""),"Blueprint Medicines Corp  Com")</f>
        <v>Blueprint Medicines Corp  Com</v>
      </c>
      <c r="B531" s="12" t="str">
        <f>IFERROR(__xludf.DUMMYFUNCTION("""COMPUTED_VALUE"""),"BPMC-US")</f>
        <v>BPMC-US</v>
      </c>
      <c r="C531" s="12"/>
      <c r="D531" s="13">
        <f>IFERROR(__xludf.DUMMYFUNCTION("""COMPUTED_VALUE"""),45420.0)</f>
        <v>45420</v>
      </c>
      <c r="E531" s="13">
        <f>IFERROR(__xludf.DUMMYFUNCTION("""COMPUTED_VALUE"""),45826.0)</f>
        <v>45826</v>
      </c>
      <c r="F531" s="13">
        <f>IFERROR(__xludf.DUMMYFUNCTION("""COMPUTED_VALUE"""),45826.0)</f>
        <v>45826</v>
      </c>
      <c r="G531" s="15" t="s">
        <v>5150</v>
      </c>
      <c r="H531" s="15" t="s">
        <v>5150</v>
      </c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 t="str">
        <f>IFERROR(__xludf.DUMMYFUNCTION("""COMPUTED_VALUE"""),"Qualys Inc  Com")</f>
        <v>Qualys Inc  Com</v>
      </c>
      <c r="B532" s="12" t="str">
        <f>IFERROR(__xludf.DUMMYFUNCTION("""COMPUTED_VALUE"""),"QLYS-US")</f>
        <v>QLYS-US</v>
      </c>
      <c r="C532" s="12"/>
      <c r="D532" s="13">
        <f>IFERROR(__xludf.DUMMYFUNCTION("""COMPUTED_VALUE"""),45420.0)</f>
        <v>45420</v>
      </c>
      <c r="E532" s="13">
        <f>IFERROR(__xludf.DUMMYFUNCTION("""COMPUTED_VALUE"""),45819.0)</f>
        <v>45819</v>
      </c>
      <c r="F532" s="13">
        <f>IFERROR(__xludf.DUMMYFUNCTION("""COMPUTED_VALUE"""),45819.0)</f>
        <v>45819</v>
      </c>
      <c r="G532" s="15" t="s">
        <v>5150</v>
      </c>
      <c r="H532" s="15" t="s">
        <v>5150</v>
      </c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 t="str">
        <f>IFERROR(__xludf.DUMMYFUNCTION("""COMPUTED_VALUE"""),"Grand Canyon Education Inc  Com")</f>
        <v>Grand Canyon Education Inc  Com</v>
      </c>
      <c r="B533" s="12" t="str">
        <f>IFERROR(__xludf.DUMMYFUNCTION("""COMPUTED_VALUE"""),"LOPE-US")</f>
        <v>LOPE-US</v>
      </c>
      <c r="C533" s="12"/>
      <c r="D533" s="13">
        <f>IFERROR(__xludf.DUMMYFUNCTION("""COMPUTED_VALUE"""),45420.0)</f>
        <v>45420</v>
      </c>
      <c r="E533" s="13">
        <f>IFERROR(__xludf.DUMMYFUNCTION("""COMPUTED_VALUE"""),45818.0)</f>
        <v>45818</v>
      </c>
      <c r="F533" s="13">
        <f>IFERROR(__xludf.DUMMYFUNCTION("""COMPUTED_VALUE"""),45818.0)</f>
        <v>45818</v>
      </c>
      <c r="G533" s="15" t="s">
        <v>5150</v>
      </c>
      <c r="H533" s="15" t="s">
        <v>5150</v>
      </c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 t="str">
        <f>IFERROR(__xludf.DUMMYFUNCTION("""COMPUTED_VALUE"""),"Radnet Inc  Com")</f>
        <v>Radnet Inc  Com</v>
      </c>
      <c r="B534" s="12" t="str">
        <f>IFERROR(__xludf.DUMMYFUNCTION("""COMPUTED_VALUE"""),"RDNT-US")</f>
        <v>RDNT-US</v>
      </c>
      <c r="C534" s="12"/>
      <c r="D534" s="13">
        <f>IFERROR(__xludf.DUMMYFUNCTION("""COMPUTED_VALUE"""),45420.0)</f>
        <v>45420</v>
      </c>
      <c r="E534" s="13">
        <f>IFERROR(__xludf.DUMMYFUNCTION("""COMPUTED_VALUE"""),45818.0)</f>
        <v>45818</v>
      </c>
      <c r="F534" s="13">
        <f>IFERROR(__xludf.DUMMYFUNCTION("""COMPUTED_VALUE"""),45818.0)</f>
        <v>45818</v>
      </c>
      <c r="G534" s="15" t="s">
        <v>5150</v>
      </c>
      <c r="H534" s="15" t="s">
        <v>5150</v>
      </c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 t="str">
        <f>IFERROR(__xludf.DUMMYFUNCTION("""COMPUTED_VALUE"""),"Shake Shack Inc  Cl A")</f>
        <v>Shake Shack Inc  Cl A</v>
      </c>
      <c r="B535" s="12" t="str">
        <f>IFERROR(__xludf.DUMMYFUNCTION("""COMPUTED_VALUE"""),"SHAK-US")</f>
        <v>SHAK-US</v>
      </c>
      <c r="C535" s="12"/>
      <c r="D535" s="13">
        <f>IFERROR(__xludf.DUMMYFUNCTION("""COMPUTED_VALUE"""),45420.0)</f>
        <v>45420</v>
      </c>
      <c r="E535" s="13">
        <f>IFERROR(__xludf.DUMMYFUNCTION("""COMPUTED_VALUE"""),45812.0)</f>
        <v>45812</v>
      </c>
      <c r="F535" s="13">
        <f>IFERROR(__xludf.DUMMYFUNCTION("""COMPUTED_VALUE"""),45812.0)</f>
        <v>45812</v>
      </c>
      <c r="G535" s="15" t="s">
        <v>5150</v>
      </c>
      <c r="H535" s="15" t="s">
        <v>5150</v>
      </c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 t="str">
        <f>IFERROR(__xludf.DUMMYFUNCTION("""COMPUTED_VALUE"""),"Firstcash Holdings Inc  Com")</f>
        <v>Firstcash Holdings Inc  Com</v>
      </c>
      <c r="B536" s="12" t="str">
        <f>IFERROR(__xludf.DUMMYFUNCTION("""COMPUTED_VALUE"""),"FCFS-US")</f>
        <v>FCFS-US</v>
      </c>
      <c r="C536" s="12"/>
      <c r="D536" s="13">
        <f>IFERROR(__xludf.DUMMYFUNCTION("""COMPUTED_VALUE"""),45421.0)</f>
        <v>45421</v>
      </c>
      <c r="E536" s="13">
        <f>IFERROR(__xludf.DUMMYFUNCTION("""COMPUTED_VALUE"""),45819.0)</f>
        <v>45819</v>
      </c>
      <c r="F536" s="13">
        <f>IFERROR(__xludf.DUMMYFUNCTION("""COMPUTED_VALUE"""),45819.0)</f>
        <v>45819</v>
      </c>
      <c r="G536" s="15" t="s">
        <v>5150</v>
      </c>
      <c r="H536" s="15" t="s">
        <v>5150</v>
      </c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 t="str">
        <f>IFERROR(__xludf.DUMMYFUNCTION("""COMPUTED_VALUE"""),"Riot Platforms Inc  Com")</f>
        <v>Riot Platforms Inc  Com</v>
      </c>
      <c r="B537" s="12" t="str">
        <f>IFERROR(__xludf.DUMMYFUNCTION("""COMPUTED_VALUE"""),"RIOT-US")</f>
        <v>RIOT-US</v>
      </c>
      <c r="C537" s="12"/>
      <c r="D537" s="13">
        <f>IFERROR(__xludf.DUMMYFUNCTION("""COMPUTED_VALUE"""),45421.0)</f>
        <v>45421</v>
      </c>
      <c r="E537" s="13">
        <f>IFERROR(__xludf.DUMMYFUNCTION("""COMPUTED_VALUE"""),45818.0)</f>
        <v>45818</v>
      </c>
      <c r="F537" s="13">
        <f>IFERROR(__xludf.DUMMYFUNCTION("""COMPUTED_VALUE"""),45818.0)</f>
        <v>45818</v>
      </c>
      <c r="G537" s="15" t="s">
        <v>5150</v>
      </c>
      <c r="H537" s="15" t="s">
        <v>5150</v>
      </c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 t="str">
        <f>IFERROR(__xludf.DUMMYFUNCTION("""COMPUTED_VALUE"""),"Remitly Global Inc  Com")</f>
        <v>Remitly Global Inc  Com</v>
      </c>
      <c r="B538" s="12" t="str">
        <f>IFERROR(__xludf.DUMMYFUNCTION("""COMPUTED_VALUE"""),"RELY-US")</f>
        <v>RELY-US</v>
      </c>
      <c r="C538" s="12"/>
      <c r="D538" s="13">
        <f>IFERROR(__xludf.DUMMYFUNCTION("""COMPUTED_VALUE"""),45421.0)</f>
        <v>45421</v>
      </c>
      <c r="E538" s="13">
        <f>IFERROR(__xludf.DUMMYFUNCTION("""COMPUTED_VALUE"""),45819.0)</f>
        <v>45819</v>
      </c>
      <c r="F538" s="13">
        <f>IFERROR(__xludf.DUMMYFUNCTION("""COMPUTED_VALUE"""),45819.0)</f>
        <v>45819</v>
      </c>
      <c r="G538" s="15" t="s">
        <v>5150</v>
      </c>
      <c r="H538" s="15" t="s">
        <v>5150</v>
      </c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 t="str">
        <f>IFERROR(__xludf.DUMMYFUNCTION("""COMPUTED_VALUE"""),"Veracyte Inc  Com")</f>
        <v>Veracyte Inc  Com</v>
      </c>
      <c r="B539" s="12" t="str">
        <f>IFERROR(__xludf.DUMMYFUNCTION("""COMPUTED_VALUE"""),"VCYT-US")</f>
        <v>VCYT-US</v>
      </c>
      <c r="C539" s="12"/>
      <c r="D539" s="13">
        <f>IFERROR(__xludf.DUMMYFUNCTION("""COMPUTED_VALUE"""),45421.0)</f>
        <v>45421</v>
      </c>
      <c r="E539" s="13">
        <f>IFERROR(__xludf.DUMMYFUNCTION("""COMPUTED_VALUE"""),45825.0)</f>
        <v>45825</v>
      </c>
      <c r="F539" s="13">
        <f>IFERROR(__xludf.DUMMYFUNCTION("""COMPUTED_VALUE"""),45825.0)</f>
        <v>45825</v>
      </c>
      <c r="G539" s="15" t="s">
        <v>5150</v>
      </c>
      <c r="H539" s="15" t="s">
        <v>5150</v>
      </c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 t="str">
        <f>IFERROR(__xludf.DUMMYFUNCTION("""COMPUTED_VALUE"""),"Blackbaud Inc  Com")</f>
        <v>Blackbaud Inc  Com</v>
      </c>
      <c r="B540" s="12" t="str">
        <f>IFERROR(__xludf.DUMMYFUNCTION("""COMPUTED_VALUE"""),"BLKB-US")</f>
        <v>BLKB-US</v>
      </c>
      <c r="C540" s="12"/>
      <c r="D540" s="13">
        <f>IFERROR(__xludf.DUMMYFUNCTION("""COMPUTED_VALUE"""),45421.0)</f>
        <v>45421</v>
      </c>
      <c r="E540" s="13">
        <f>IFERROR(__xludf.DUMMYFUNCTION("""COMPUTED_VALUE"""),45819.0)</f>
        <v>45819</v>
      </c>
      <c r="F540" s="13">
        <f>IFERROR(__xludf.DUMMYFUNCTION("""COMPUTED_VALUE"""),45819.0)</f>
        <v>45819</v>
      </c>
      <c r="G540" s="15" t="s">
        <v>5150</v>
      </c>
      <c r="H540" s="15" t="s">
        <v>5150</v>
      </c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 t="str">
        <f>IFERROR(__xludf.DUMMYFUNCTION("""COMPUTED_VALUE"""),"Vertex Inc  Cl A")</f>
        <v>Vertex Inc  Cl A</v>
      </c>
      <c r="B541" s="12" t="str">
        <f>IFERROR(__xludf.DUMMYFUNCTION("""COMPUTED_VALUE"""),"VERX-US")</f>
        <v>VERX-US</v>
      </c>
      <c r="C541" s="12"/>
      <c r="D541" s="13">
        <f>IFERROR(__xludf.DUMMYFUNCTION("""COMPUTED_VALUE"""),45421.0)</f>
        <v>45421</v>
      </c>
      <c r="E541" s="13">
        <f>IFERROR(__xludf.DUMMYFUNCTION("""COMPUTED_VALUE"""),45819.0)</f>
        <v>45819</v>
      </c>
      <c r="F541" s="13">
        <f>IFERROR(__xludf.DUMMYFUNCTION("""COMPUTED_VALUE"""),45819.0)</f>
        <v>45819</v>
      </c>
      <c r="G541" s="15" t="s">
        <v>5150</v>
      </c>
      <c r="H541" s="15" t="s">
        <v>5150</v>
      </c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 t="str">
        <f>IFERROR(__xludf.DUMMYFUNCTION("""COMPUTED_VALUE"""),"Nuvalent Inc  Cl A")</f>
        <v>Nuvalent Inc  Cl A</v>
      </c>
      <c r="B542" s="12" t="str">
        <f>IFERROR(__xludf.DUMMYFUNCTION("""COMPUTED_VALUE"""),"NUVL-US")</f>
        <v>NUVL-US</v>
      </c>
      <c r="C542" s="12"/>
      <c r="D542" s="13">
        <f>IFERROR(__xludf.DUMMYFUNCTION("""COMPUTED_VALUE"""),45421.0)</f>
        <v>45421</v>
      </c>
      <c r="E542" s="13">
        <f>IFERROR(__xludf.DUMMYFUNCTION("""COMPUTED_VALUE"""),45826.0)</f>
        <v>45826</v>
      </c>
      <c r="F542" s="13">
        <f>IFERROR(__xludf.DUMMYFUNCTION("""COMPUTED_VALUE"""),45826.0)</f>
        <v>45826</v>
      </c>
      <c r="G542" s="15" t="s">
        <v>5150</v>
      </c>
      <c r="H542" s="15" t="s">
        <v>5150</v>
      </c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 t="str">
        <f>IFERROR(__xludf.DUMMYFUNCTION("""COMPUTED_VALUE"""),"Ambarella Inc  Com")</f>
        <v>Ambarella Inc  Com</v>
      </c>
      <c r="B543" s="12" t="str">
        <f>IFERROR(__xludf.DUMMYFUNCTION("""COMPUTED_VALUE"""),"AMBA-US")</f>
        <v>AMBA-US</v>
      </c>
      <c r="C543" s="12"/>
      <c r="D543" s="13">
        <f>IFERROR(__xludf.DUMMYFUNCTION("""COMPUTED_VALUE"""),45421.0)</f>
        <v>45421</v>
      </c>
      <c r="E543" s="13">
        <f>IFERROR(__xludf.DUMMYFUNCTION("""COMPUTED_VALUE"""),45812.0)</f>
        <v>45812</v>
      </c>
      <c r="F543" s="13">
        <f>IFERROR(__xludf.DUMMYFUNCTION("""COMPUTED_VALUE"""),45812.0)</f>
        <v>45812</v>
      </c>
      <c r="G543" s="15" t="s">
        <v>5150</v>
      </c>
      <c r="H543" s="15" t="s">
        <v>5150</v>
      </c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 t="str">
        <f>IFERROR(__xludf.DUMMYFUNCTION("""COMPUTED_VALUE"""),"Valaris Ltd  Com")</f>
        <v>Valaris Ltd  Com</v>
      </c>
      <c r="B544" s="12" t="str">
        <f>IFERROR(__xludf.DUMMYFUNCTION("""COMPUTED_VALUE"""),"VAL-US")</f>
        <v>VAL-US</v>
      </c>
      <c r="C544" s="12"/>
      <c r="D544" s="13">
        <f>IFERROR(__xludf.DUMMYFUNCTION("""COMPUTED_VALUE"""),45421.0)</f>
        <v>45421</v>
      </c>
      <c r="E544" s="13">
        <f>IFERROR(__xludf.DUMMYFUNCTION("""COMPUTED_VALUE"""),45820.0)</f>
        <v>45820</v>
      </c>
      <c r="F544" s="13">
        <f>IFERROR(__xludf.DUMMYFUNCTION("""COMPUTED_VALUE"""),45820.0)</f>
        <v>45820</v>
      </c>
      <c r="G544" s="15" t="s">
        <v>5150</v>
      </c>
      <c r="H544" s="15" t="s">
        <v>5150</v>
      </c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 t="str">
        <f>IFERROR(__xludf.DUMMYFUNCTION("""COMPUTED_VALUE"""),"Magnite Inc  Com")</f>
        <v>Magnite Inc  Com</v>
      </c>
      <c r="B545" s="12" t="str">
        <f>IFERROR(__xludf.DUMMYFUNCTION("""COMPUTED_VALUE"""),"MGNI-US")</f>
        <v>MGNI-US</v>
      </c>
      <c r="C545" s="12"/>
      <c r="D545" s="13">
        <f>IFERROR(__xludf.DUMMYFUNCTION("""COMPUTED_VALUE"""),45421.0)</f>
        <v>45421</v>
      </c>
      <c r="E545" s="13">
        <f>IFERROR(__xludf.DUMMYFUNCTION("""COMPUTED_VALUE"""),45813.0)</f>
        <v>45813</v>
      </c>
      <c r="F545" s="13">
        <f>IFERROR(__xludf.DUMMYFUNCTION("""COMPUTED_VALUE"""),45813.0)</f>
        <v>45813</v>
      </c>
      <c r="G545" s="15" t="s">
        <v>5150</v>
      </c>
      <c r="H545" s="15" t="s">
        <v>5150</v>
      </c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 t="str">
        <f>IFERROR(__xludf.DUMMYFUNCTION("""COMPUTED_VALUE"""),"Addus Homecare Corp  Com")</f>
        <v>Addus Homecare Corp  Com</v>
      </c>
      <c r="B546" s="12" t="str">
        <f>IFERROR(__xludf.DUMMYFUNCTION("""COMPUTED_VALUE"""),"ADUS-US")</f>
        <v>ADUS-US</v>
      </c>
      <c r="C546" s="12"/>
      <c r="D546" s="13">
        <f>IFERROR(__xludf.DUMMYFUNCTION("""COMPUTED_VALUE"""),45421.0)</f>
        <v>45421</v>
      </c>
      <c r="E546" s="13">
        <f>IFERROR(__xludf.DUMMYFUNCTION("""COMPUTED_VALUE"""),45826.0)</f>
        <v>45826</v>
      </c>
      <c r="F546" s="13">
        <f>IFERROR(__xludf.DUMMYFUNCTION("""COMPUTED_VALUE"""),45826.0)</f>
        <v>45826</v>
      </c>
      <c r="G546" s="15" t="s">
        <v>5150</v>
      </c>
      <c r="H546" s="15" t="s">
        <v>5150</v>
      </c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 t="str">
        <f>IFERROR(__xludf.DUMMYFUNCTION("""COMPUTED_VALUE"""),"Biocryst Pharmaceuticals  Com")</f>
        <v>Biocryst Pharmaceuticals  Com</v>
      </c>
      <c r="B547" s="12" t="str">
        <f>IFERROR(__xludf.DUMMYFUNCTION("""COMPUTED_VALUE"""),"BCRX-US")</f>
        <v>BCRX-US</v>
      </c>
      <c r="C547" s="12"/>
      <c r="D547" s="13">
        <f>IFERROR(__xludf.DUMMYFUNCTION("""COMPUTED_VALUE"""),45421.0)</f>
        <v>45421</v>
      </c>
      <c r="E547" s="13">
        <f>IFERROR(__xludf.DUMMYFUNCTION("""COMPUTED_VALUE"""),45820.0)</f>
        <v>45820</v>
      </c>
      <c r="F547" s="13">
        <f>IFERROR(__xludf.DUMMYFUNCTION("""COMPUTED_VALUE"""),45820.0)</f>
        <v>45820</v>
      </c>
      <c r="G547" s="15" t="s">
        <v>5150</v>
      </c>
      <c r="H547" s="15" t="s">
        <v>5150</v>
      </c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 t="str">
        <f>IFERROR(__xludf.DUMMYFUNCTION("""COMPUTED_VALUE"""),"Ocular Therapeutix Inc  Com")</f>
        <v>Ocular Therapeutix Inc  Com</v>
      </c>
      <c r="B548" s="12" t="str">
        <f>IFERROR(__xludf.DUMMYFUNCTION("""COMPUTED_VALUE"""),"OCUL-US")</f>
        <v>OCUL-US</v>
      </c>
      <c r="C548" s="12"/>
      <c r="D548" s="13">
        <f>IFERROR(__xludf.DUMMYFUNCTION("""COMPUTED_VALUE"""),45421.0)</f>
        <v>45421</v>
      </c>
      <c r="E548" s="13">
        <f>IFERROR(__xludf.DUMMYFUNCTION("""COMPUTED_VALUE"""),45819.0)</f>
        <v>45819</v>
      </c>
      <c r="F548" s="13">
        <f>IFERROR(__xludf.DUMMYFUNCTION("""COMPUTED_VALUE"""),45819.0)</f>
        <v>45819</v>
      </c>
      <c r="G548" s="15" t="s">
        <v>5150</v>
      </c>
      <c r="H548" s="15" t="s">
        <v>5150</v>
      </c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 t="str">
        <f>IFERROR(__xludf.DUMMYFUNCTION("""COMPUTED_VALUE"""),"Wisdomtree Inc  Com")</f>
        <v>Wisdomtree Inc  Com</v>
      </c>
      <c r="B549" s="12" t="str">
        <f>IFERROR(__xludf.DUMMYFUNCTION("""COMPUTED_VALUE"""),"WT-US")</f>
        <v>WT-US</v>
      </c>
      <c r="C549" s="12"/>
      <c r="D549" s="13">
        <f>IFERROR(__xludf.DUMMYFUNCTION("""COMPUTED_VALUE"""),45421.0)</f>
        <v>45421</v>
      </c>
      <c r="E549" s="13">
        <f>IFERROR(__xludf.DUMMYFUNCTION("""COMPUTED_VALUE"""),45825.0)</f>
        <v>45825</v>
      </c>
      <c r="F549" s="13">
        <f>IFERROR(__xludf.DUMMYFUNCTION("""COMPUTED_VALUE"""),45825.0)</f>
        <v>45825</v>
      </c>
      <c r="G549" s="15" t="s">
        <v>5150</v>
      </c>
      <c r="H549" s="15" t="s">
        <v>5150</v>
      </c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 t="str">
        <f>IFERROR(__xludf.DUMMYFUNCTION("""COMPUTED_VALUE"""),"Astrana Health Inc  Com")</f>
        <v>Astrana Health Inc  Com</v>
      </c>
      <c r="B550" s="12" t="str">
        <f>IFERROR(__xludf.DUMMYFUNCTION("""COMPUTED_VALUE"""),"ASTH-US")</f>
        <v>ASTH-US</v>
      </c>
      <c r="C550" s="12"/>
      <c r="D550" s="13">
        <f>IFERROR(__xludf.DUMMYFUNCTION("""COMPUTED_VALUE"""),45421.0)</f>
        <v>45421</v>
      </c>
      <c r="E550" s="13">
        <f>IFERROR(__xludf.DUMMYFUNCTION("""COMPUTED_VALUE"""),45819.0)</f>
        <v>45819</v>
      </c>
      <c r="F550" s="13">
        <f>IFERROR(__xludf.DUMMYFUNCTION("""COMPUTED_VALUE"""),45819.0)</f>
        <v>45819</v>
      </c>
      <c r="G550" s="15" t="s">
        <v>5150</v>
      </c>
      <c r="H550" s="15" t="s">
        <v>5150</v>
      </c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 t="str">
        <f>IFERROR(__xludf.DUMMYFUNCTION("""COMPUTED_VALUE"""),"Veris Residential Inc  Com")</f>
        <v>Veris Residential Inc  Com</v>
      </c>
      <c r="B551" s="12" t="str">
        <f>IFERROR(__xludf.DUMMYFUNCTION("""COMPUTED_VALUE"""),"VRE-US")</f>
        <v>VRE-US</v>
      </c>
      <c r="C551" s="12"/>
      <c r="D551" s="13">
        <f>IFERROR(__xludf.DUMMYFUNCTION("""COMPUTED_VALUE"""),45421.0)</f>
        <v>45421</v>
      </c>
      <c r="E551" s="13">
        <f>IFERROR(__xludf.DUMMYFUNCTION("""COMPUTED_VALUE"""),45819.0)</f>
        <v>45819</v>
      </c>
      <c r="F551" s="13">
        <f>IFERROR(__xludf.DUMMYFUNCTION("""COMPUTED_VALUE"""),45819.0)</f>
        <v>45819</v>
      </c>
      <c r="G551" s="15" t="s">
        <v>5150</v>
      </c>
      <c r="H551" s="15" t="s">
        <v>5150</v>
      </c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 t="str">
        <f>IFERROR(__xludf.DUMMYFUNCTION("""COMPUTED_VALUE"""),"International Seaways  Com")</f>
        <v>International Seaways  Com</v>
      </c>
      <c r="B552" s="12" t="str">
        <f>IFERROR(__xludf.DUMMYFUNCTION("""COMPUTED_VALUE"""),"INSW-US")</f>
        <v>INSW-US</v>
      </c>
      <c r="C552" s="12"/>
      <c r="D552" s="13">
        <f>IFERROR(__xludf.DUMMYFUNCTION("""COMPUTED_VALUE"""),45421.0)</f>
        <v>45421</v>
      </c>
      <c r="E552" s="13">
        <f>IFERROR(__xludf.DUMMYFUNCTION("""COMPUTED_VALUE"""),45818.0)</f>
        <v>45818</v>
      </c>
      <c r="F552" s="13">
        <f>IFERROR(__xludf.DUMMYFUNCTION("""COMPUTED_VALUE"""),45818.0)</f>
        <v>45818</v>
      </c>
      <c r="G552" s="15" t="s">
        <v>5150</v>
      </c>
      <c r="H552" s="15" t="s">
        <v>5150</v>
      </c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 t="str">
        <f>IFERROR(__xludf.DUMMYFUNCTION("""COMPUTED_VALUE"""),"Vital Farms Inc  Com")</f>
        <v>Vital Farms Inc  Com</v>
      </c>
      <c r="B553" s="12" t="str">
        <f>IFERROR(__xludf.DUMMYFUNCTION("""COMPUTED_VALUE"""),"VITL-US")</f>
        <v>VITL-US</v>
      </c>
      <c r="C553" s="12"/>
      <c r="D553" s="13">
        <f>IFERROR(__xludf.DUMMYFUNCTION("""COMPUTED_VALUE"""),45421.0)</f>
        <v>45421</v>
      </c>
      <c r="E553" s="13">
        <f>IFERROR(__xludf.DUMMYFUNCTION("""COMPUTED_VALUE"""),45819.0)</f>
        <v>45819</v>
      </c>
      <c r="F553" s="13">
        <f>IFERROR(__xludf.DUMMYFUNCTION("""COMPUTED_VALUE"""),45819.0)</f>
        <v>45819</v>
      </c>
      <c r="G553" s="15" t="s">
        <v>5150</v>
      </c>
      <c r="H553" s="15" t="s">
        <v>5150</v>
      </c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 t="str">
        <f>IFERROR(__xludf.DUMMYFUNCTION("""COMPUTED_VALUE"""),"Fastly Inc  Cl A")</f>
        <v>Fastly Inc  Cl A</v>
      </c>
      <c r="B554" s="12" t="str">
        <f>IFERROR(__xludf.DUMMYFUNCTION("""COMPUTED_VALUE"""),"FSLY-US")</f>
        <v>FSLY-US</v>
      </c>
      <c r="C554" s="12"/>
      <c r="D554" s="13">
        <f>IFERROR(__xludf.DUMMYFUNCTION("""COMPUTED_VALUE"""),45421.0)</f>
        <v>45421</v>
      </c>
      <c r="E554" s="13">
        <f>IFERROR(__xludf.DUMMYFUNCTION("""COMPUTED_VALUE"""),45819.0)</f>
        <v>45819</v>
      </c>
      <c r="F554" s="13">
        <f>IFERROR(__xludf.DUMMYFUNCTION("""COMPUTED_VALUE"""),45819.0)</f>
        <v>45819</v>
      </c>
      <c r="G554" s="15" t="s">
        <v>5150</v>
      </c>
      <c r="H554" s="15" t="s">
        <v>5150</v>
      </c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 t="str">
        <f>IFERROR(__xludf.DUMMYFUNCTION("""COMPUTED_VALUE"""),"Intellia Therapeutics In  Com")</f>
        <v>Intellia Therapeutics In  Com</v>
      </c>
      <c r="B555" s="12" t="str">
        <f>IFERROR(__xludf.DUMMYFUNCTION("""COMPUTED_VALUE"""),"NTLA-US")</f>
        <v>NTLA-US</v>
      </c>
      <c r="C555" s="12"/>
      <c r="D555" s="13">
        <f>IFERROR(__xludf.DUMMYFUNCTION("""COMPUTED_VALUE"""),45421.0)</f>
        <v>45421</v>
      </c>
      <c r="E555" s="13">
        <f>IFERROR(__xludf.DUMMYFUNCTION("""COMPUTED_VALUE"""),45819.0)</f>
        <v>45819</v>
      </c>
      <c r="F555" s="13">
        <f>IFERROR(__xludf.DUMMYFUNCTION("""COMPUTED_VALUE"""),45819.0)</f>
        <v>45819</v>
      </c>
      <c r="G555" s="15" t="s">
        <v>5150</v>
      </c>
      <c r="H555" s="15" t="s">
        <v>5150</v>
      </c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 t="str">
        <f>IFERROR(__xludf.DUMMYFUNCTION("""COMPUTED_VALUE"""),"Pennymac Mortgage Investment Tr  Com")</f>
        <v>Pennymac Mortgage Investment Tr  Com</v>
      </c>
      <c r="B556" s="12" t="str">
        <f>IFERROR(__xludf.DUMMYFUNCTION("""COMPUTED_VALUE"""),"PMT-US")</f>
        <v>PMT-US</v>
      </c>
      <c r="C556" s="12"/>
      <c r="D556" s="13">
        <f>IFERROR(__xludf.DUMMYFUNCTION("""COMPUTED_VALUE"""),45421.0)</f>
        <v>45421</v>
      </c>
      <c r="E556" s="13">
        <f>IFERROR(__xludf.DUMMYFUNCTION("""COMPUTED_VALUE"""),45832.0)</f>
        <v>45832</v>
      </c>
      <c r="F556" s="13">
        <f>IFERROR(__xludf.DUMMYFUNCTION("""COMPUTED_VALUE"""),45832.0)</f>
        <v>45832</v>
      </c>
      <c r="G556" s="15" t="s">
        <v>5150</v>
      </c>
      <c r="H556" s="15" t="s">
        <v>5150</v>
      </c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 t="str">
        <f>IFERROR(__xludf.DUMMYFUNCTION("""COMPUTED_VALUE"""),"Dht Holdings Inc  Com")</f>
        <v>Dht Holdings Inc  Com</v>
      </c>
      <c r="B557" s="12" t="str">
        <f>IFERROR(__xludf.DUMMYFUNCTION("""COMPUTED_VALUE"""),"DHT-US")</f>
        <v>DHT-US</v>
      </c>
      <c r="C557" s="12"/>
      <c r="D557" s="13">
        <f>IFERROR(__xludf.DUMMYFUNCTION("""COMPUTED_VALUE"""),45421.0)</f>
        <v>45421</v>
      </c>
      <c r="E557" s="13">
        <f>IFERROR(__xludf.DUMMYFUNCTION("""COMPUTED_VALUE"""),45819.0)</f>
        <v>45819</v>
      </c>
      <c r="F557" s="13">
        <f>IFERROR(__xludf.DUMMYFUNCTION("""COMPUTED_VALUE"""),45819.0)</f>
        <v>45819</v>
      </c>
      <c r="G557" s="16" t="s">
        <v>5152</v>
      </c>
      <c r="H557" s="16" t="s">
        <v>5152</v>
      </c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 t="str">
        <f>IFERROR(__xludf.DUMMYFUNCTION("""COMPUTED_VALUE"""),"Realreal Inc  Com")</f>
        <v>Realreal Inc  Com</v>
      </c>
      <c r="B558" s="12" t="str">
        <f>IFERROR(__xludf.DUMMYFUNCTION("""COMPUTED_VALUE"""),"REAL-US")</f>
        <v>REAL-US</v>
      </c>
      <c r="C558" s="12"/>
      <c r="D558" s="13">
        <f>IFERROR(__xludf.DUMMYFUNCTION("""COMPUTED_VALUE"""),45421.0)</f>
        <v>45421</v>
      </c>
      <c r="E558" s="13">
        <f>IFERROR(__xludf.DUMMYFUNCTION("""COMPUTED_VALUE"""),45819.0)</f>
        <v>45819</v>
      </c>
      <c r="F558" s="13">
        <f>IFERROR(__xludf.DUMMYFUNCTION("""COMPUTED_VALUE"""),45819.0)</f>
        <v>45819</v>
      </c>
      <c r="G558" s="15" t="s">
        <v>5150</v>
      </c>
      <c r="H558" s="15" t="s">
        <v>5150</v>
      </c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 t="str">
        <f>IFERROR(__xludf.DUMMYFUNCTION("""COMPUTED_VALUE"""),"National Vision Holdings Inc  Com")</f>
        <v>National Vision Holdings Inc  Com</v>
      </c>
      <c r="B559" s="12" t="str">
        <f>IFERROR(__xludf.DUMMYFUNCTION("""COMPUTED_VALUE"""),"EYE-US")</f>
        <v>EYE-US</v>
      </c>
      <c r="C559" s="12"/>
      <c r="D559" s="13">
        <f>IFERROR(__xludf.DUMMYFUNCTION("""COMPUTED_VALUE"""),45421.0)</f>
        <v>45421</v>
      </c>
      <c r="E559" s="13">
        <f>IFERROR(__xludf.DUMMYFUNCTION("""COMPUTED_VALUE"""),45826.0)</f>
        <v>45826</v>
      </c>
      <c r="F559" s="13">
        <f>IFERROR(__xludf.DUMMYFUNCTION("""COMPUTED_VALUE"""),45826.0)</f>
        <v>45826</v>
      </c>
      <c r="G559" s="15" t="s">
        <v>5150</v>
      </c>
      <c r="H559" s="15" t="s">
        <v>5150</v>
      </c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 t="str">
        <f>IFERROR(__xludf.DUMMYFUNCTION("""COMPUTED_VALUE"""),"Blend Labs Inc  Cl A")</f>
        <v>Blend Labs Inc  Cl A</v>
      </c>
      <c r="B560" s="12" t="str">
        <f>IFERROR(__xludf.DUMMYFUNCTION("""COMPUTED_VALUE"""),"BLND-US")</f>
        <v>BLND-US</v>
      </c>
      <c r="C560" s="12"/>
      <c r="D560" s="13">
        <f>IFERROR(__xludf.DUMMYFUNCTION("""COMPUTED_VALUE"""),45421.0)</f>
        <v>45421</v>
      </c>
      <c r="E560" s="13">
        <f>IFERROR(__xludf.DUMMYFUNCTION("""COMPUTED_VALUE"""),45819.0)</f>
        <v>45819</v>
      </c>
      <c r="F560" s="13">
        <f>IFERROR(__xludf.DUMMYFUNCTION("""COMPUTED_VALUE"""),45819.0)</f>
        <v>45819</v>
      </c>
      <c r="G560" s="15" t="s">
        <v>5150</v>
      </c>
      <c r="H560" s="15" t="s">
        <v>5150</v>
      </c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 t="str">
        <f>IFERROR(__xludf.DUMMYFUNCTION("""COMPUTED_VALUE"""),"Stagwell Inc  Cl A")</f>
        <v>Stagwell Inc  Cl A</v>
      </c>
      <c r="B561" s="12" t="str">
        <f>IFERROR(__xludf.DUMMYFUNCTION("""COMPUTED_VALUE"""),"STGW-US")</f>
        <v>STGW-US</v>
      </c>
      <c r="C561" s="12"/>
      <c r="D561" s="13">
        <f>IFERROR(__xludf.DUMMYFUNCTION("""COMPUTED_VALUE"""),45421.0)</f>
        <v>45421</v>
      </c>
      <c r="E561" s="13">
        <f>IFERROR(__xludf.DUMMYFUNCTION("""COMPUTED_VALUE"""),45820.0)</f>
        <v>45820</v>
      </c>
      <c r="F561" s="13">
        <f>IFERROR(__xludf.DUMMYFUNCTION("""COMPUTED_VALUE"""),45820.0)</f>
        <v>45820</v>
      </c>
      <c r="G561" s="15" t="s">
        <v>5150</v>
      </c>
      <c r="H561" s="15" t="s">
        <v>5150</v>
      </c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 t="str">
        <f>IFERROR(__xludf.DUMMYFUNCTION("""COMPUTED_VALUE"""),"Alphatec Holdings Inc  Com")</f>
        <v>Alphatec Holdings Inc  Com</v>
      </c>
      <c r="B562" s="12" t="str">
        <f>IFERROR(__xludf.DUMMYFUNCTION("""COMPUTED_VALUE"""),"ATEC-US")</f>
        <v>ATEC-US</v>
      </c>
      <c r="C562" s="12"/>
      <c r="D562" s="13">
        <f>IFERROR(__xludf.DUMMYFUNCTION("""COMPUTED_VALUE"""),45421.0)</f>
        <v>45421</v>
      </c>
      <c r="E562" s="13">
        <f>IFERROR(__xludf.DUMMYFUNCTION("""COMPUTED_VALUE"""),45819.0)</f>
        <v>45819</v>
      </c>
      <c r="F562" s="13">
        <f>IFERROR(__xludf.DUMMYFUNCTION("""COMPUTED_VALUE"""),45819.0)</f>
        <v>45819</v>
      </c>
      <c r="G562" s="15" t="s">
        <v>5150</v>
      </c>
      <c r="H562" s="15" t="s">
        <v>5150</v>
      </c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 t="str">
        <f>IFERROR(__xludf.DUMMYFUNCTION("""COMPUTED_VALUE"""),"Sun Country Airlines Hldgs Inc  Com")</f>
        <v>Sun Country Airlines Hldgs Inc  Com</v>
      </c>
      <c r="B563" s="12" t="str">
        <f>IFERROR(__xludf.DUMMYFUNCTION("""COMPUTED_VALUE"""),"SNCY-US")</f>
        <v>SNCY-US</v>
      </c>
      <c r="C563" s="12"/>
      <c r="D563" s="13">
        <f>IFERROR(__xludf.DUMMYFUNCTION("""COMPUTED_VALUE"""),45421.0)</f>
        <v>45421</v>
      </c>
      <c r="E563" s="13">
        <f>IFERROR(__xludf.DUMMYFUNCTION("""COMPUTED_VALUE"""),45819.0)</f>
        <v>45819</v>
      </c>
      <c r="F563" s="13">
        <f>IFERROR(__xludf.DUMMYFUNCTION("""COMPUTED_VALUE"""),45819.0)</f>
        <v>45819</v>
      </c>
      <c r="G563" s="15" t="s">
        <v>5150</v>
      </c>
      <c r="H563" s="15" t="s">
        <v>5150</v>
      </c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 t="str">
        <f>IFERROR(__xludf.DUMMYFUNCTION("""COMPUTED_VALUE"""),"Yext Inc  Com")</f>
        <v>Yext Inc  Com</v>
      </c>
      <c r="B564" s="12" t="str">
        <f>IFERROR(__xludf.DUMMYFUNCTION("""COMPUTED_VALUE"""),"YEXT-US")</f>
        <v>YEXT-US</v>
      </c>
      <c r="C564" s="12"/>
      <c r="D564" s="13">
        <f>IFERROR(__xludf.DUMMYFUNCTION("""COMPUTED_VALUE"""),45421.0)</f>
        <v>45421</v>
      </c>
      <c r="E564" s="13">
        <f>IFERROR(__xludf.DUMMYFUNCTION("""COMPUTED_VALUE"""),45819.0)</f>
        <v>45819</v>
      </c>
      <c r="F564" s="13">
        <f>IFERROR(__xludf.DUMMYFUNCTION("""COMPUTED_VALUE"""),45819.0)</f>
        <v>45819</v>
      </c>
      <c r="G564" s="15" t="s">
        <v>5150</v>
      </c>
      <c r="H564" s="15" t="s">
        <v>5150</v>
      </c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 t="str">
        <f>IFERROR(__xludf.DUMMYFUNCTION("""COMPUTED_VALUE"""),"Lendingtree Inc  Com")</f>
        <v>Lendingtree Inc  Com</v>
      </c>
      <c r="B565" s="12" t="str">
        <f>IFERROR(__xludf.DUMMYFUNCTION("""COMPUTED_VALUE"""),"TREE-US")</f>
        <v>TREE-US</v>
      </c>
      <c r="C565" s="12"/>
      <c r="D565" s="13">
        <f>IFERROR(__xludf.DUMMYFUNCTION("""COMPUTED_VALUE"""),45421.0)</f>
        <v>45421</v>
      </c>
      <c r="E565" s="13">
        <f>IFERROR(__xludf.DUMMYFUNCTION("""COMPUTED_VALUE"""),45819.0)</f>
        <v>45819</v>
      </c>
      <c r="F565" s="13">
        <f>IFERROR(__xludf.DUMMYFUNCTION("""COMPUTED_VALUE"""),45819.0)</f>
        <v>45819</v>
      </c>
      <c r="G565" s="15" t="s">
        <v>5150</v>
      </c>
      <c r="H565" s="15" t="s">
        <v>5150</v>
      </c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 t="str">
        <f>IFERROR(__xludf.DUMMYFUNCTION("""COMPUTED_VALUE"""),"Immunome Inc  Com")</f>
        <v>Immunome Inc  Com</v>
      </c>
      <c r="B566" s="12" t="str">
        <f>IFERROR(__xludf.DUMMYFUNCTION("""COMPUTED_VALUE"""),"IMNM-US")</f>
        <v>IMNM-US</v>
      </c>
      <c r="C566" s="12"/>
      <c r="D566" s="13">
        <f>IFERROR(__xludf.DUMMYFUNCTION("""COMPUTED_VALUE"""),45421.0)</f>
        <v>45421</v>
      </c>
      <c r="E566" s="13">
        <f>IFERROR(__xludf.DUMMYFUNCTION("""COMPUTED_VALUE"""),45818.0)</f>
        <v>45818</v>
      </c>
      <c r="F566" s="13">
        <f>IFERROR(__xludf.DUMMYFUNCTION("""COMPUTED_VALUE"""),45818.0)</f>
        <v>45818</v>
      </c>
      <c r="G566" s="15" t="s">
        <v>5150</v>
      </c>
      <c r="H566" s="15" t="s">
        <v>5150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 t="str">
        <f>IFERROR(__xludf.DUMMYFUNCTION("""COMPUTED_VALUE"""),"Armada Hoffler Properties Inc  Com")</f>
        <v>Armada Hoffler Properties Inc  Com</v>
      </c>
      <c r="B567" s="12" t="str">
        <f>IFERROR(__xludf.DUMMYFUNCTION("""COMPUTED_VALUE"""),"AHH-US")</f>
        <v>AHH-US</v>
      </c>
      <c r="C567" s="12"/>
      <c r="D567" s="13">
        <f>IFERROR(__xludf.DUMMYFUNCTION("""COMPUTED_VALUE"""),45421.0)</f>
        <v>45421</v>
      </c>
      <c r="E567" s="13">
        <f>IFERROR(__xludf.DUMMYFUNCTION("""COMPUTED_VALUE"""),45826.0)</f>
        <v>45826</v>
      </c>
      <c r="F567" s="13">
        <f>IFERROR(__xludf.DUMMYFUNCTION("""COMPUTED_VALUE"""),45826.0)</f>
        <v>45826</v>
      </c>
      <c r="G567" s="15" t="s">
        <v>5150</v>
      </c>
      <c r="H567" s="15" t="s">
        <v>5150</v>
      </c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 t="str">
        <f>IFERROR(__xludf.DUMMYFUNCTION("""COMPUTED_VALUE"""),"Porch Group Inc  Com")</f>
        <v>Porch Group Inc  Com</v>
      </c>
      <c r="B568" s="12" t="str">
        <f>IFERROR(__xludf.DUMMYFUNCTION("""COMPUTED_VALUE"""),"PRCH-US")</f>
        <v>PRCH-US</v>
      </c>
      <c r="C568" s="12"/>
      <c r="D568" s="13">
        <f>IFERROR(__xludf.DUMMYFUNCTION("""COMPUTED_VALUE"""),45421.0)</f>
        <v>45421</v>
      </c>
      <c r="E568" s="13">
        <f>IFERROR(__xludf.DUMMYFUNCTION("""COMPUTED_VALUE"""),45819.0)</f>
        <v>45819</v>
      </c>
      <c r="F568" s="13">
        <f>IFERROR(__xludf.DUMMYFUNCTION("""COMPUTED_VALUE"""),45819.0)</f>
        <v>45819</v>
      </c>
      <c r="G568" s="15" t="s">
        <v>5150</v>
      </c>
      <c r="H568" s="15" t="s">
        <v>5150</v>
      </c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 t="str">
        <f>IFERROR(__xludf.DUMMYFUNCTION("""COMPUTED_VALUE"""),"Oric Pharmaceuticals Inc  Com")</f>
        <v>Oric Pharmaceuticals Inc  Com</v>
      </c>
      <c r="B569" s="12" t="str">
        <f>IFERROR(__xludf.DUMMYFUNCTION("""COMPUTED_VALUE"""),"ORIC-US")</f>
        <v>ORIC-US</v>
      </c>
      <c r="C569" s="12"/>
      <c r="D569" s="13">
        <f>IFERROR(__xludf.DUMMYFUNCTION("""COMPUTED_VALUE"""),45421.0)</f>
        <v>45421</v>
      </c>
      <c r="E569" s="13">
        <f>IFERROR(__xludf.DUMMYFUNCTION("""COMPUTED_VALUE"""),45819.0)</f>
        <v>45819</v>
      </c>
      <c r="F569" s="13">
        <f>IFERROR(__xludf.DUMMYFUNCTION("""COMPUTED_VALUE"""),45819.0)</f>
        <v>45819</v>
      </c>
      <c r="G569" s="15" t="s">
        <v>5150</v>
      </c>
      <c r="H569" s="15" t="s">
        <v>5150</v>
      </c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 t="str">
        <f>IFERROR(__xludf.DUMMYFUNCTION("""COMPUTED_VALUE"""),"Consensus Cloud Solutions Inc  Com")</f>
        <v>Consensus Cloud Solutions Inc  Com</v>
      </c>
      <c r="B570" s="12" t="str">
        <f>IFERROR(__xludf.DUMMYFUNCTION("""COMPUTED_VALUE"""),"CCSI-US")</f>
        <v>CCSI-US</v>
      </c>
      <c r="C570" s="12"/>
      <c r="D570" s="13">
        <f>IFERROR(__xludf.DUMMYFUNCTION("""COMPUTED_VALUE"""),45421.0)</f>
        <v>45421</v>
      </c>
      <c r="E570" s="13">
        <f>IFERROR(__xludf.DUMMYFUNCTION("""COMPUTED_VALUE"""),45819.0)</f>
        <v>45819</v>
      </c>
      <c r="F570" s="13">
        <f>IFERROR(__xludf.DUMMYFUNCTION("""COMPUTED_VALUE"""),45819.0)</f>
        <v>45819</v>
      </c>
      <c r="G570" s="15" t="s">
        <v>5150</v>
      </c>
      <c r="H570" s="15" t="s">
        <v>5150</v>
      </c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 t="str">
        <f>IFERROR(__xludf.DUMMYFUNCTION("""COMPUTED_VALUE"""),"Sandridge Energy Inc  Com")</f>
        <v>Sandridge Energy Inc  Com</v>
      </c>
      <c r="B571" s="12" t="str">
        <f>IFERROR(__xludf.DUMMYFUNCTION("""COMPUTED_VALUE"""),"SD-US")</f>
        <v>SD-US</v>
      </c>
      <c r="C571" s="12"/>
      <c r="D571" s="13">
        <f>IFERROR(__xludf.DUMMYFUNCTION("""COMPUTED_VALUE"""),45421.0)</f>
        <v>45421</v>
      </c>
      <c r="E571" s="13">
        <f>IFERROR(__xludf.DUMMYFUNCTION("""COMPUTED_VALUE"""),45819.0)</f>
        <v>45819</v>
      </c>
      <c r="F571" s="13">
        <f>IFERROR(__xludf.DUMMYFUNCTION("""COMPUTED_VALUE"""),45819.0)</f>
        <v>45819</v>
      </c>
      <c r="G571" s="15" t="s">
        <v>5150</v>
      </c>
      <c r="H571" s="15" t="s">
        <v>5150</v>
      </c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 t="str">
        <f>IFERROR(__xludf.DUMMYFUNCTION("""COMPUTED_VALUE"""),"Absci Corp  Com")</f>
        <v>Absci Corp  Com</v>
      </c>
      <c r="B572" s="12" t="str">
        <f>IFERROR(__xludf.DUMMYFUNCTION("""COMPUTED_VALUE"""),"ABSI-US")</f>
        <v>ABSI-US</v>
      </c>
      <c r="C572" s="12"/>
      <c r="D572" s="13">
        <f>IFERROR(__xludf.DUMMYFUNCTION("""COMPUTED_VALUE"""),45421.0)</f>
        <v>45421</v>
      </c>
      <c r="E572" s="13">
        <f>IFERROR(__xludf.DUMMYFUNCTION("""COMPUTED_VALUE"""),45819.0)</f>
        <v>45819</v>
      </c>
      <c r="F572" s="13">
        <f>IFERROR(__xludf.DUMMYFUNCTION("""COMPUTED_VALUE"""),45819.0)</f>
        <v>45819</v>
      </c>
      <c r="G572" s="15" t="s">
        <v>5150</v>
      </c>
      <c r="H572" s="15" t="s">
        <v>5150</v>
      </c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 t="str">
        <f>IFERROR(__xludf.DUMMYFUNCTION("""COMPUTED_VALUE"""),"Anaptysbio Inc  Com")</f>
        <v>Anaptysbio Inc  Com</v>
      </c>
      <c r="B573" s="12" t="str">
        <f>IFERROR(__xludf.DUMMYFUNCTION("""COMPUTED_VALUE"""),"ANAB-US")</f>
        <v>ANAB-US</v>
      </c>
      <c r="C573" s="12"/>
      <c r="D573" s="13">
        <f>IFERROR(__xludf.DUMMYFUNCTION("""COMPUTED_VALUE"""),45421.0)</f>
        <v>45421</v>
      </c>
      <c r="E573" s="13">
        <f>IFERROR(__xludf.DUMMYFUNCTION("""COMPUTED_VALUE"""),45825.0)</f>
        <v>45825</v>
      </c>
      <c r="F573" s="13">
        <f>IFERROR(__xludf.DUMMYFUNCTION("""COMPUTED_VALUE"""),45825.0)</f>
        <v>45825</v>
      </c>
      <c r="G573" s="15" t="s">
        <v>5150</v>
      </c>
      <c r="H573" s="15" t="s">
        <v>5150</v>
      </c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 t="str">
        <f>IFERROR(__xludf.DUMMYFUNCTION("""COMPUTED_VALUE"""),"Getty Images Holdings Inc  Cl A")</f>
        <v>Getty Images Holdings Inc  Cl A</v>
      </c>
      <c r="B574" s="12" t="str">
        <f>IFERROR(__xludf.DUMMYFUNCTION("""COMPUTED_VALUE"""),"GETY-US")</f>
        <v>GETY-US</v>
      </c>
      <c r="C574" s="12"/>
      <c r="D574" s="13">
        <f>IFERROR(__xludf.DUMMYFUNCTION("""COMPUTED_VALUE"""),45421.0)</f>
        <v>45421</v>
      </c>
      <c r="E574" s="13">
        <f>IFERROR(__xludf.DUMMYFUNCTION("""COMPUTED_VALUE"""),45908.0)</f>
        <v>45908</v>
      </c>
      <c r="F574" s="13">
        <f>IFERROR(__xludf.DUMMYFUNCTION("""COMPUTED_VALUE"""),45908.0)</f>
        <v>45908</v>
      </c>
      <c r="G574" s="16" t="s">
        <v>5152</v>
      </c>
      <c r="H574" s="16" t="s">
        <v>5152</v>
      </c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 t="str">
        <f>IFERROR(__xludf.DUMMYFUNCTION("""COMPUTED_VALUE"""),"Monte Rosa Therapeutics Inc  Com")</f>
        <v>Monte Rosa Therapeutics Inc  Com</v>
      </c>
      <c r="B575" s="12" t="str">
        <f>IFERROR(__xludf.DUMMYFUNCTION("""COMPUTED_VALUE"""),"GLUE-US")</f>
        <v>GLUE-US</v>
      </c>
      <c r="C575" s="12"/>
      <c r="D575" s="13">
        <f>IFERROR(__xludf.DUMMYFUNCTION("""COMPUTED_VALUE"""),45421.0)</f>
        <v>45421</v>
      </c>
      <c r="E575" s="13">
        <f>IFERROR(__xludf.DUMMYFUNCTION("""COMPUTED_VALUE"""),45821.0)</f>
        <v>45821</v>
      </c>
      <c r="F575" s="13">
        <f>IFERROR(__xludf.DUMMYFUNCTION("""COMPUTED_VALUE"""),45821.0)</f>
        <v>45821</v>
      </c>
      <c r="G575" s="15" t="s">
        <v>5150</v>
      </c>
      <c r="H575" s="15" t="s">
        <v>5150</v>
      </c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 t="str">
        <f>IFERROR(__xludf.DUMMYFUNCTION("""COMPUTED_VALUE"""),"Amc Networks Inc  Cl A")</f>
        <v>Amc Networks Inc  Cl A</v>
      </c>
      <c r="B576" s="12" t="str">
        <f>IFERROR(__xludf.DUMMYFUNCTION("""COMPUTED_VALUE"""),"AMCX-US")</f>
        <v>AMCX-US</v>
      </c>
      <c r="C576" s="12"/>
      <c r="D576" s="13">
        <f>IFERROR(__xludf.DUMMYFUNCTION("""COMPUTED_VALUE"""),45421.0)</f>
        <v>45421</v>
      </c>
      <c r="E576" s="13">
        <f>IFERROR(__xludf.DUMMYFUNCTION("""COMPUTED_VALUE"""),45813.0)</f>
        <v>45813</v>
      </c>
      <c r="F576" s="13">
        <f>IFERROR(__xludf.DUMMYFUNCTION("""COMPUTED_VALUE"""),45813.0)</f>
        <v>45813</v>
      </c>
      <c r="G576" s="15" t="s">
        <v>5150</v>
      </c>
      <c r="H576" s="15" t="s">
        <v>5150</v>
      </c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 t="str">
        <f>IFERROR(__xludf.DUMMYFUNCTION("""COMPUTED_VALUE"""),"Tscan Therapeutics Inc  Com")</f>
        <v>Tscan Therapeutics Inc  Com</v>
      </c>
      <c r="B577" s="12" t="str">
        <f>IFERROR(__xludf.DUMMYFUNCTION("""COMPUTED_VALUE"""),"TCRX-US")</f>
        <v>TCRX-US</v>
      </c>
      <c r="C577" s="12"/>
      <c r="D577" s="13">
        <f>IFERROR(__xludf.DUMMYFUNCTION("""COMPUTED_VALUE"""),45421.0)</f>
        <v>45421</v>
      </c>
      <c r="E577" s="13">
        <f>IFERROR(__xludf.DUMMYFUNCTION("""COMPUTED_VALUE"""),45838.0)</f>
        <v>45838</v>
      </c>
      <c r="F577" s="13">
        <f>IFERROR(__xludf.DUMMYFUNCTION("""COMPUTED_VALUE"""),45838.0)</f>
        <v>45838</v>
      </c>
      <c r="G577" s="15" t="s">
        <v>5150</v>
      </c>
      <c r="H577" s="15" t="s">
        <v>5150</v>
      </c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 t="str">
        <f>IFERROR(__xludf.DUMMYFUNCTION("""COMPUTED_VALUE"""),"Neumora Therapeutics Inc  Com")</f>
        <v>Neumora Therapeutics Inc  Com</v>
      </c>
      <c r="B578" s="12" t="str">
        <f>IFERROR(__xludf.DUMMYFUNCTION("""COMPUTED_VALUE"""),"NMRA-US")</f>
        <v>NMRA-US</v>
      </c>
      <c r="C578" s="12"/>
      <c r="D578" s="13">
        <f>IFERROR(__xludf.DUMMYFUNCTION("""COMPUTED_VALUE"""),45421.0)</f>
        <v>45421</v>
      </c>
      <c r="E578" s="13">
        <f>IFERROR(__xludf.DUMMYFUNCTION("""COMPUTED_VALUE"""),45805.0)</f>
        <v>45805</v>
      </c>
      <c r="F578" s="13">
        <f>IFERROR(__xludf.DUMMYFUNCTION("""COMPUTED_VALUE"""),45805.0)</f>
        <v>45805</v>
      </c>
      <c r="G578" s="15" t="s">
        <v>5150</v>
      </c>
      <c r="H578" s="15" t="s">
        <v>5150</v>
      </c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 t="str">
        <f>IFERROR(__xludf.DUMMYFUNCTION("""COMPUTED_VALUE"""),"Olaplex Holdings Inc  Com")</f>
        <v>Olaplex Holdings Inc  Com</v>
      </c>
      <c r="B579" s="12" t="str">
        <f>IFERROR(__xludf.DUMMYFUNCTION("""COMPUTED_VALUE"""),"OLPX-US")</f>
        <v>OLPX-US</v>
      </c>
      <c r="C579" s="12"/>
      <c r="D579" s="13">
        <f>IFERROR(__xludf.DUMMYFUNCTION("""COMPUTED_VALUE"""),45421.0)</f>
        <v>45421</v>
      </c>
      <c r="E579" s="13">
        <f>IFERROR(__xludf.DUMMYFUNCTION("""COMPUTED_VALUE"""),45818.0)</f>
        <v>45818</v>
      </c>
      <c r="F579" s="13">
        <f>IFERROR(__xludf.DUMMYFUNCTION("""COMPUTED_VALUE"""),45818.0)</f>
        <v>45818</v>
      </c>
      <c r="G579" s="15" t="s">
        <v>5150</v>
      </c>
      <c r="H579" s="15" t="s">
        <v>5150</v>
      </c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 t="str">
        <f>IFERROR(__xludf.DUMMYFUNCTION("""COMPUTED_VALUE"""),"Forge Global Holdings Inc  Com")</f>
        <v>Forge Global Holdings Inc  Com</v>
      </c>
      <c r="B580" s="12" t="str">
        <f>IFERROR(__xludf.DUMMYFUNCTION("""COMPUTED_VALUE"""),"FRGE-US")</f>
        <v>FRGE-US</v>
      </c>
      <c r="C580" s="12"/>
      <c r="D580" s="13">
        <f>IFERROR(__xludf.DUMMYFUNCTION("""COMPUTED_VALUE"""),45421.0)</f>
        <v>45421</v>
      </c>
      <c r="E580" s="13">
        <f>IFERROR(__xludf.DUMMYFUNCTION("""COMPUTED_VALUE"""),45828.0)</f>
        <v>45828</v>
      </c>
      <c r="F580" s="13">
        <f>IFERROR(__xludf.DUMMYFUNCTION("""COMPUTED_VALUE"""),45828.0)</f>
        <v>45828</v>
      </c>
      <c r="G580" s="15" t="s">
        <v>5150</v>
      </c>
      <c r="H580" s="15" t="s">
        <v>5150</v>
      </c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 t="str">
        <f>IFERROR(__xludf.DUMMYFUNCTION("""COMPUTED_VALUE"""),"Prime Medicine Inc  Com")</f>
        <v>Prime Medicine Inc  Com</v>
      </c>
      <c r="B581" s="12" t="str">
        <f>IFERROR(__xludf.DUMMYFUNCTION("""COMPUTED_VALUE"""),"PRME-US")</f>
        <v>PRME-US</v>
      </c>
      <c r="C581" s="12"/>
      <c r="D581" s="13">
        <f>IFERROR(__xludf.DUMMYFUNCTION("""COMPUTED_VALUE"""),45421.0)</f>
        <v>45421</v>
      </c>
      <c r="E581" s="13">
        <f>IFERROR(__xludf.DUMMYFUNCTION("""COMPUTED_VALUE"""),45812.0)</f>
        <v>45812</v>
      </c>
      <c r="F581" s="13">
        <f>IFERROR(__xludf.DUMMYFUNCTION("""COMPUTED_VALUE"""),45812.0)</f>
        <v>45812</v>
      </c>
      <c r="G581" s="15" t="s">
        <v>5150</v>
      </c>
      <c r="H581" s="15" t="s">
        <v>5150</v>
      </c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 t="str">
        <f>IFERROR(__xludf.DUMMYFUNCTION("""COMPUTED_VALUE"""),"Alector Inc  Com")</f>
        <v>Alector Inc  Com</v>
      </c>
      <c r="B582" s="12" t="str">
        <f>IFERROR(__xludf.DUMMYFUNCTION("""COMPUTED_VALUE"""),"ALEC-US")</f>
        <v>ALEC-US</v>
      </c>
      <c r="C582" s="12"/>
      <c r="D582" s="13">
        <f>IFERROR(__xludf.DUMMYFUNCTION("""COMPUTED_VALUE"""),45421.0)</f>
        <v>45421</v>
      </c>
      <c r="E582" s="13">
        <f>IFERROR(__xludf.DUMMYFUNCTION("""COMPUTED_VALUE"""),45819.0)</f>
        <v>45819</v>
      </c>
      <c r="F582" s="13">
        <f>IFERROR(__xludf.DUMMYFUNCTION("""COMPUTED_VALUE"""),45819.0)</f>
        <v>45819</v>
      </c>
      <c r="G582" s="15" t="s">
        <v>5150</v>
      </c>
      <c r="H582" s="15" t="s">
        <v>5150</v>
      </c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 t="str">
        <f>IFERROR(__xludf.DUMMYFUNCTION("""COMPUTED_VALUE"""),"Virgin Galactic Holdings Inc  Com")</f>
        <v>Virgin Galactic Holdings Inc  Com</v>
      </c>
      <c r="B583" s="12" t="str">
        <f>IFERROR(__xludf.DUMMYFUNCTION("""COMPUTED_VALUE"""),"SPCE-US")</f>
        <v>SPCE-US</v>
      </c>
      <c r="C583" s="12"/>
      <c r="D583" s="13">
        <f>IFERROR(__xludf.DUMMYFUNCTION("""COMPUTED_VALUE"""),45421.0)</f>
        <v>45421</v>
      </c>
      <c r="E583" s="13">
        <f>IFERROR(__xludf.DUMMYFUNCTION("""COMPUTED_VALUE"""),45813.0)</f>
        <v>45813</v>
      </c>
      <c r="F583" s="13">
        <f>IFERROR(__xludf.DUMMYFUNCTION("""COMPUTED_VALUE"""),45813.0)</f>
        <v>45813</v>
      </c>
      <c r="G583" s="15" t="s">
        <v>5150</v>
      </c>
      <c r="H583" s="15" t="s">
        <v>5150</v>
      </c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 t="str">
        <f>IFERROR(__xludf.DUMMYFUNCTION("""COMPUTED_VALUE"""),"Biomea Fusion Inc  Com")</f>
        <v>Biomea Fusion Inc  Com</v>
      </c>
      <c r="B584" s="12" t="str">
        <f>IFERROR(__xludf.DUMMYFUNCTION("""COMPUTED_VALUE"""),"BMEA-US")</f>
        <v>BMEA-US</v>
      </c>
      <c r="C584" s="12"/>
      <c r="D584" s="13">
        <f>IFERROR(__xludf.DUMMYFUNCTION("""COMPUTED_VALUE"""),45421.0)</f>
        <v>45421</v>
      </c>
      <c r="E584" s="13">
        <f>IFERROR(__xludf.DUMMYFUNCTION("""COMPUTED_VALUE"""),45819.0)</f>
        <v>45819</v>
      </c>
      <c r="F584" s="13">
        <f>IFERROR(__xludf.DUMMYFUNCTION("""COMPUTED_VALUE"""),45819.0)</f>
        <v>45819</v>
      </c>
      <c r="G584" s="15" t="s">
        <v>5150</v>
      </c>
      <c r="H584" s="15" t="s">
        <v>5150</v>
      </c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 t="str">
        <f>IFERROR(__xludf.DUMMYFUNCTION("""COMPUTED_VALUE"""),"Alx Oncology Holdings Inc  Com")</f>
        <v>Alx Oncology Holdings Inc  Com</v>
      </c>
      <c r="B585" s="12" t="str">
        <f>IFERROR(__xludf.DUMMYFUNCTION("""COMPUTED_VALUE"""),"ALXO-US")</f>
        <v>ALXO-US</v>
      </c>
      <c r="C585" s="12"/>
      <c r="D585" s="13">
        <f>IFERROR(__xludf.DUMMYFUNCTION("""COMPUTED_VALUE"""),45421.0)</f>
        <v>45421</v>
      </c>
      <c r="E585" s="13">
        <f>IFERROR(__xludf.DUMMYFUNCTION("""COMPUTED_VALUE"""),45819.0)</f>
        <v>45819</v>
      </c>
      <c r="F585" s="13">
        <f>IFERROR(__xludf.DUMMYFUNCTION("""COMPUTED_VALUE"""),45819.0)</f>
        <v>45819</v>
      </c>
      <c r="G585" s="15" t="s">
        <v>5150</v>
      </c>
      <c r="H585" s="15" t="s">
        <v>5150</v>
      </c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 t="str">
        <f>IFERROR(__xludf.DUMMYFUNCTION("""COMPUTED_VALUE"""),"Freeport Mcmoran Inc  Cl B")</f>
        <v>Freeport Mcmoran Inc  Cl B</v>
      </c>
      <c r="B586" s="12" t="str">
        <f>IFERROR(__xludf.DUMMYFUNCTION("""COMPUTED_VALUE"""),"FCX-US")</f>
        <v>FCX-US</v>
      </c>
      <c r="C586" s="12"/>
      <c r="D586" s="13">
        <f>IFERROR(__xludf.DUMMYFUNCTION("""COMPUTED_VALUE"""),45421.0)</f>
        <v>45421</v>
      </c>
      <c r="E586" s="13">
        <f>IFERROR(__xludf.DUMMYFUNCTION("""COMPUTED_VALUE"""),45819.0)</f>
        <v>45819</v>
      </c>
      <c r="F586" s="13">
        <f>IFERROR(__xludf.DUMMYFUNCTION("""COMPUTED_VALUE"""),45819.0)</f>
        <v>45819</v>
      </c>
      <c r="G586" s="15" t="s">
        <v>5150</v>
      </c>
      <c r="H586" s="15" t="s">
        <v>5150</v>
      </c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 t="str">
        <f>IFERROR(__xludf.DUMMYFUNCTION("""COMPUTED_VALUE"""),"Hubspot Inc  Com")</f>
        <v>Hubspot Inc  Com</v>
      </c>
      <c r="B587" s="12" t="str">
        <f>IFERROR(__xludf.DUMMYFUNCTION("""COMPUTED_VALUE"""),"HUBS-US")</f>
        <v>HUBS-US</v>
      </c>
      <c r="C587" s="12"/>
      <c r="D587" s="13">
        <f>IFERROR(__xludf.DUMMYFUNCTION("""COMPUTED_VALUE"""),45421.0)</f>
        <v>45421</v>
      </c>
      <c r="E587" s="13">
        <f>IFERROR(__xludf.DUMMYFUNCTION("""COMPUTED_VALUE"""),45812.0)</f>
        <v>45812</v>
      </c>
      <c r="F587" s="13">
        <f>IFERROR(__xludf.DUMMYFUNCTION("""COMPUTED_VALUE"""),45812.0)</f>
        <v>45812</v>
      </c>
      <c r="G587" s="15" t="s">
        <v>5150</v>
      </c>
      <c r="H587" s="15" t="s">
        <v>5150</v>
      </c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 t="str">
        <f>IFERROR(__xludf.DUMMYFUNCTION("""COMPUTED_VALUE"""),"Nasdaq Inc  Com")</f>
        <v>Nasdaq Inc  Com</v>
      </c>
      <c r="B588" s="12" t="str">
        <f>IFERROR(__xludf.DUMMYFUNCTION("""COMPUTED_VALUE"""),"NDAQ-US")</f>
        <v>NDAQ-US</v>
      </c>
      <c r="C588" s="12"/>
      <c r="D588" s="13">
        <f>IFERROR(__xludf.DUMMYFUNCTION("""COMPUTED_VALUE"""),45421.0)</f>
        <v>45421</v>
      </c>
      <c r="E588" s="13">
        <f>IFERROR(__xludf.DUMMYFUNCTION("""COMPUTED_VALUE"""),45819.0)</f>
        <v>45819</v>
      </c>
      <c r="F588" s="13">
        <f>IFERROR(__xludf.DUMMYFUNCTION("""COMPUTED_VALUE"""),45819.0)</f>
        <v>45819</v>
      </c>
      <c r="G588" s="15" t="s">
        <v>5150</v>
      </c>
      <c r="H588" s="15" t="s">
        <v>5150</v>
      </c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 t="str">
        <f>IFERROR(__xludf.DUMMYFUNCTION("""COMPUTED_VALUE"""),"Synchrony Financial  Com")</f>
        <v>Synchrony Financial  Com</v>
      </c>
      <c r="B589" s="12" t="str">
        <f>IFERROR(__xludf.DUMMYFUNCTION("""COMPUTED_VALUE"""),"SYF-US")</f>
        <v>SYF-US</v>
      </c>
      <c r="C589" s="12"/>
      <c r="D589" s="13">
        <f>IFERROR(__xludf.DUMMYFUNCTION("""COMPUTED_VALUE"""),45421.0)</f>
        <v>45421</v>
      </c>
      <c r="E589" s="13">
        <f>IFERROR(__xludf.DUMMYFUNCTION("""COMPUTED_VALUE"""),45825.0)</f>
        <v>45825</v>
      </c>
      <c r="F589" s="13">
        <f>IFERROR(__xludf.DUMMYFUNCTION("""COMPUTED_VALUE"""),45825.0)</f>
        <v>45825</v>
      </c>
      <c r="G589" s="15" t="s">
        <v>5150</v>
      </c>
      <c r="H589" s="15" t="s">
        <v>5150</v>
      </c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 t="str">
        <f>IFERROR(__xludf.DUMMYFUNCTION("""COMPUTED_VALUE"""),"Ulta Beauty Inc  Com")</f>
        <v>Ulta Beauty Inc  Com</v>
      </c>
      <c r="B590" s="12" t="str">
        <f>IFERROR(__xludf.DUMMYFUNCTION("""COMPUTED_VALUE"""),"ULTA-US")</f>
        <v>ULTA-US</v>
      </c>
      <c r="C590" s="12"/>
      <c r="D590" s="13">
        <f>IFERROR(__xludf.DUMMYFUNCTION("""COMPUTED_VALUE"""),45421.0)</f>
        <v>45421</v>
      </c>
      <c r="E590" s="13">
        <f>IFERROR(__xludf.DUMMYFUNCTION("""COMPUTED_VALUE"""),45819.0)</f>
        <v>45819</v>
      </c>
      <c r="F590" s="13">
        <f>IFERROR(__xludf.DUMMYFUNCTION("""COMPUTED_VALUE"""),45819.0)</f>
        <v>45819</v>
      </c>
      <c r="G590" s="15" t="s">
        <v>5150</v>
      </c>
      <c r="H590" s="15" t="s">
        <v>5150</v>
      </c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 t="str">
        <f>IFERROR(__xludf.DUMMYFUNCTION("""COMPUTED_VALUE"""),"Rexford Industrial Realty Inc  Com")</f>
        <v>Rexford Industrial Realty Inc  Com</v>
      </c>
      <c r="B591" s="12" t="str">
        <f>IFERROR(__xludf.DUMMYFUNCTION("""COMPUTED_VALUE"""),"REXR-US")</f>
        <v>REXR-US</v>
      </c>
      <c r="C591" s="12"/>
      <c r="D591" s="13">
        <f>IFERROR(__xludf.DUMMYFUNCTION("""COMPUTED_VALUE"""),45421.0)</f>
        <v>45421</v>
      </c>
      <c r="E591" s="13">
        <f>IFERROR(__xludf.DUMMYFUNCTION("""COMPUTED_VALUE"""),45811.0)</f>
        <v>45811</v>
      </c>
      <c r="F591" s="13">
        <f>IFERROR(__xludf.DUMMYFUNCTION("""COMPUTED_VALUE"""),45811.0)</f>
        <v>45811</v>
      </c>
      <c r="G591" s="15" t="s">
        <v>5150</v>
      </c>
      <c r="H591" s="15" t="s">
        <v>5150</v>
      </c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 t="str">
        <f>IFERROR(__xludf.DUMMYFUNCTION("""COMPUTED_VALUE"""),"Gitlab Inc  Cl A")</f>
        <v>Gitlab Inc  Cl A</v>
      </c>
      <c r="B592" s="12" t="str">
        <f>IFERROR(__xludf.DUMMYFUNCTION("""COMPUTED_VALUE"""),"GTLB-US")</f>
        <v>GTLB-US</v>
      </c>
      <c r="C592" s="12"/>
      <c r="D592" s="13">
        <f>IFERROR(__xludf.DUMMYFUNCTION("""COMPUTED_VALUE"""),45421.0)</f>
        <v>45421</v>
      </c>
      <c r="E592" s="13">
        <f>IFERROR(__xludf.DUMMYFUNCTION("""COMPUTED_VALUE"""),45828.0)</f>
        <v>45828</v>
      </c>
      <c r="F592" s="13">
        <f>IFERROR(__xludf.DUMMYFUNCTION("""COMPUTED_VALUE"""),45828.0)</f>
        <v>45828</v>
      </c>
      <c r="G592" s="15" t="s">
        <v>5150</v>
      </c>
      <c r="H592" s="15" t="s">
        <v>5150</v>
      </c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 t="str">
        <f>IFERROR(__xludf.DUMMYFUNCTION("""COMPUTED_VALUE"""),"Caesars Entertainment Inc  Com")</f>
        <v>Caesars Entertainment Inc  Com</v>
      </c>
      <c r="B593" s="12" t="str">
        <f>IFERROR(__xludf.DUMMYFUNCTION("""COMPUTED_VALUE"""),"CZR-US")</f>
        <v>CZR-US</v>
      </c>
      <c r="C593" s="12"/>
      <c r="D593" s="13">
        <f>IFERROR(__xludf.DUMMYFUNCTION("""COMPUTED_VALUE"""),45421.0)</f>
        <v>45421</v>
      </c>
      <c r="E593" s="13">
        <f>IFERROR(__xludf.DUMMYFUNCTION("""COMPUTED_VALUE"""),45818.0)</f>
        <v>45818</v>
      </c>
      <c r="F593" s="13">
        <f>IFERROR(__xludf.DUMMYFUNCTION("""COMPUTED_VALUE"""),45818.0)</f>
        <v>45818</v>
      </c>
      <c r="G593" s="15" t="s">
        <v>5150</v>
      </c>
      <c r="H593" s="15" t="s">
        <v>5150</v>
      </c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 t="str">
        <f>IFERROR(__xludf.DUMMYFUNCTION("""COMPUTED_VALUE"""),"Q2 Holdings Inc  Com")</f>
        <v>Q2 Holdings Inc  Com</v>
      </c>
      <c r="B594" s="12" t="str">
        <f>IFERROR(__xludf.DUMMYFUNCTION("""COMPUTED_VALUE"""),"QTWO-US")</f>
        <v>QTWO-US</v>
      </c>
      <c r="C594" s="12"/>
      <c r="D594" s="13">
        <f>IFERROR(__xludf.DUMMYFUNCTION("""COMPUTED_VALUE"""),45421.0)</f>
        <v>45421</v>
      </c>
      <c r="E594" s="13">
        <f>IFERROR(__xludf.DUMMYFUNCTION("""COMPUTED_VALUE"""),45811.0)</f>
        <v>45811</v>
      </c>
      <c r="F594" s="13">
        <f>IFERROR(__xludf.DUMMYFUNCTION("""COMPUTED_VALUE"""),45811.0)</f>
        <v>45811</v>
      </c>
      <c r="G594" s="15" t="s">
        <v>5150</v>
      </c>
      <c r="H594" s="15" t="s">
        <v>5150</v>
      </c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 t="str">
        <f>IFERROR(__xludf.DUMMYFUNCTION("""COMPUTED_VALUE"""),"Five Below Inc  Com")</f>
        <v>Five Below Inc  Com</v>
      </c>
      <c r="B595" s="12" t="str">
        <f>IFERROR(__xludf.DUMMYFUNCTION("""COMPUTED_VALUE"""),"FIVE-US")</f>
        <v>FIVE-US</v>
      </c>
      <c r="C595" s="12"/>
      <c r="D595" s="13">
        <f>IFERROR(__xludf.DUMMYFUNCTION("""COMPUTED_VALUE"""),45421.0)</f>
        <v>45421</v>
      </c>
      <c r="E595" s="13">
        <f>IFERROR(__xludf.DUMMYFUNCTION("""COMPUTED_VALUE"""),45820.0)</f>
        <v>45820</v>
      </c>
      <c r="F595" s="13">
        <f>IFERROR(__xludf.DUMMYFUNCTION("""COMPUTED_VALUE"""),45820.0)</f>
        <v>45820</v>
      </c>
      <c r="G595" s="15" t="s">
        <v>5150</v>
      </c>
      <c r="H595" s="15" t="s">
        <v>5150</v>
      </c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 t="str">
        <f>IFERROR(__xludf.DUMMYFUNCTION("""COMPUTED_VALUE"""),"Clearwater Analytics Holdings  Cl A")</f>
        <v>Clearwater Analytics Holdings  Cl A</v>
      </c>
      <c r="B596" s="12" t="str">
        <f>IFERROR(__xludf.DUMMYFUNCTION("""COMPUTED_VALUE"""),"CWAN-US")</f>
        <v>CWAN-US</v>
      </c>
      <c r="C596" s="12"/>
      <c r="D596" s="13">
        <f>IFERROR(__xludf.DUMMYFUNCTION("""COMPUTED_VALUE"""),45421.0)</f>
        <v>45421</v>
      </c>
      <c r="E596" s="13">
        <f>IFERROR(__xludf.DUMMYFUNCTION("""COMPUTED_VALUE"""),45831.0)</f>
        <v>45831</v>
      </c>
      <c r="F596" s="13">
        <f>IFERROR(__xludf.DUMMYFUNCTION("""COMPUTED_VALUE"""),45831.0)</f>
        <v>45831</v>
      </c>
      <c r="G596" s="15" t="s">
        <v>5150</v>
      </c>
      <c r="H596" s="15" t="s">
        <v>5150</v>
      </c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 t="str">
        <f>IFERROR(__xludf.DUMMYFUNCTION("""COMPUTED_VALUE"""),"Sensata Technologies Hldg Plc  Com")</f>
        <v>Sensata Technologies Hldg Plc  Com</v>
      </c>
      <c r="B597" s="12" t="str">
        <f>IFERROR(__xludf.DUMMYFUNCTION("""COMPUTED_VALUE"""),"ST-US")</f>
        <v>ST-US</v>
      </c>
      <c r="C597" s="12"/>
      <c r="D597" s="13">
        <f>IFERROR(__xludf.DUMMYFUNCTION("""COMPUTED_VALUE"""),45421.0)</f>
        <v>45421</v>
      </c>
      <c r="E597" s="13">
        <f>IFERROR(__xludf.DUMMYFUNCTION("""COMPUTED_VALUE"""),45818.0)</f>
        <v>45818</v>
      </c>
      <c r="F597" s="13">
        <f>IFERROR(__xludf.DUMMYFUNCTION("""COMPUTED_VALUE"""),45818.0)</f>
        <v>45818</v>
      </c>
      <c r="G597" s="15" t="s">
        <v>5150</v>
      </c>
      <c r="H597" s="15" t="s">
        <v>5150</v>
      </c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 t="str">
        <f>IFERROR(__xludf.DUMMYFUNCTION("""COMPUTED_VALUE"""),"Iac Inc  Com")</f>
        <v>Iac Inc  Com</v>
      </c>
      <c r="B598" s="12" t="str">
        <f>IFERROR(__xludf.DUMMYFUNCTION("""COMPUTED_VALUE"""),"IAC-US")</f>
        <v>IAC-US</v>
      </c>
      <c r="C598" s="12"/>
      <c r="D598" s="13">
        <f>IFERROR(__xludf.DUMMYFUNCTION("""COMPUTED_VALUE"""),45421.0)</f>
        <v>45421</v>
      </c>
      <c r="E598" s="13">
        <f>IFERROR(__xludf.DUMMYFUNCTION("""COMPUTED_VALUE"""),45826.0)</f>
        <v>45826</v>
      </c>
      <c r="F598" s="13">
        <f>IFERROR(__xludf.DUMMYFUNCTION("""COMPUTED_VALUE"""),45826.0)</f>
        <v>45826</v>
      </c>
      <c r="G598" s="15" t="s">
        <v>5150</v>
      </c>
      <c r="H598" s="15" t="s">
        <v>5150</v>
      </c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 t="str">
        <f>IFERROR(__xludf.DUMMYFUNCTION("""COMPUTED_VALUE"""),"Mp Materials Corp  Cl A")</f>
        <v>Mp Materials Corp  Cl A</v>
      </c>
      <c r="B599" s="12" t="str">
        <f>IFERROR(__xludf.DUMMYFUNCTION("""COMPUTED_VALUE"""),"MP-US")</f>
        <v>MP-US</v>
      </c>
      <c r="C599" s="12"/>
      <c r="D599" s="13">
        <f>IFERROR(__xludf.DUMMYFUNCTION("""COMPUTED_VALUE"""),45421.0)</f>
        <v>45421</v>
      </c>
      <c r="E599" s="13">
        <f>IFERROR(__xludf.DUMMYFUNCTION("""COMPUTED_VALUE"""),45818.0)</f>
        <v>45818</v>
      </c>
      <c r="F599" s="13">
        <f>IFERROR(__xludf.DUMMYFUNCTION("""COMPUTED_VALUE"""),45818.0)</f>
        <v>45818</v>
      </c>
      <c r="G599" s="15" t="s">
        <v>5150</v>
      </c>
      <c r="H599" s="15" t="s">
        <v>5150</v>
      </c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 t="str">
        <f>IFERROR(__xludf.DUMMYFUNCTION("""COMPUTED_VALUE"""),"Livanova Plc  Ord")</f>
        <v>Livanova Plc  Ord</v>
      </c>
      <c r="B600" s="12" t="str">
        <f>IFERROR(__xludf.DUMMYFUNCTION("""COMPUTED_VALUE"""),"LIVN-US")</f>
        <v>LIVN-US</v>
      </c>
      <c r="C600" s="12"/>
      <c r="D600" s="13">
        <f>IFERROR(__xludf.DUMMYFUNCTION("""COMPUTED_VALUE"""),45421.0)</f>
        <v>45421</v>
      </c>
      <c r="E600" s="13">
        <f>IFERROR(__xludf.DUMMYFUNCTION("""COMPUTED_VALUE"""),45819.0)</f>
        <v>45819</v>
      </c>
      <c r="F600" s="13">
        <f>IFERROR(__xludf.DUMMYFUNCTION("""COMPUTED_VALUE"""),45819.0)</f>
        <v>45819</v>
      </c>
      <c r="G600" s="15" t="s">
        <v>5150</v>
      </c>
      <c r="H600" s="15" t="s">
        <v>5150</v>
      </c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 t="str">
        <f>IFERROR(__xludf.DUMMYFUNCTION("""COMPUTED_VALUE"""),"Quantumscape Corp  Cl A")</f>
        <v>Quantumscape Corp  Cl A</v>
      </c>
      <c r="B601" s="12" t="str">
        <f>IFERROR(__xludf.DUMMYFUNCTION("""COMPUTED_VALUE"""),"QS-US")</f>
        <v>QS-US</v>
      </c>
      <c r="C601" s="12"/>
      <c r="D601" s="13">
        <f>IFERROR(__xludf.DUMMYFUNCTION("""COMPUTED_VALUE"""),45421.0)</f>
        <v>45421</v>
      </c>
      <c r="E601" s="13">
        <f>IFERROR(__xludf.DUMMYFUNCTION("""COMPUTED_VALUE"""),45812.0)</f>
        <v>45812</v>
      </c>
      <c r="F601" s="13">
        <f>IFERROR(__xludf.DUMMYFUNCTION("""COMPUTED_VALUE"""),45812.0)</f>
        <v>45812</v>
      </c>
      <c r="G601" s="15" t="s">
        <v>5150</v>
      </c>
      <c r="H601" s="15" t="s">
        <v>5150</v>
      </c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 t="str">
        <f>IFERROR(__xludf.DUMMYFUNCTION("""COMPUTED_VALUE"""),"Informatica Inc  Cl A")</f>
        <v>Informatica Inc  Cl A</v>
      </c>
      <c r="B602" s="12" t="str">
        <f>IFERROR(__xludf.DUMMYFUNCTION("""COMPUTED_VALUE"""),"INFA-US")</f>
        <v>INFA-US</v>
      </c>
      <c r="C602" s="12"/>
      <c r="D602" s="13">
        <f>IFERROR(__xludf.DUMMYFUNCTION("""COMPUTED_VALUE"""),45421.0)</f>
        <v>45421</v>
      </c>
      <c r="E602" s="13">
        <f>IFERROR(__xludf.DUMMYFUNCTION("""COMPUTED_VALUE"""),45826.0)</f>
        <v>45826</v>
      </c>
      <c r="F602" s="13">
        <f>IFERROR(__xludf.DUMMYFUNCTION("""COMPUTED_VALUE"""),45826.0)</f>
        <v>45826</v>
      </c>
      <c r="G602" s="15" t="s">
        <v>5150</v>
      </c>
      <c r="H602" s="15" t="s">
        <v>5150</v>
      </c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 t="str">
        <f>IFERROR(__xludf.DUMMYFUNCTION("""COMPUTED_VALUE"""),"10X Genomics Inc  Cl A")</f>
        <v>10X Genomics Inc  Cl A</v>
      </c>
      <c r="B603" s="12" t="str">
        <f>IFERROR(__xludf.DUMMYFUNCTION("""COMPUTED_VALUE"""),"TXG-US")</f>
        <v>TXG-US</v>
      </c>
      <c r="C603" s="12"/>
      <c r="D603" s="13">
        <f>IFERROR(__xludf.DUMMYFUNCTION("""COMPUTED_VALUE"""),45421.0)</f>
        <v>45421</v>
      </c>
      <c r="E603" s="13">
        <f>IFERROR(__xludf.DUMMYFUNCTION("""COMPUTED_VALUE"""),45811.0)</f>
        <v>45811</v>
      </c>
      <c r="F603" s="13">
        <f>IFERROR(__xludf.DUMMYFUNCTION("""COMPUTED_VALUE"""),45811.0)</f>
        <v>45811</v>
      </c>
      <c r="G603" s="15" t="s">
        <v>5150</v>
      </c>
      <c r="H603" s="15" t="s">
        <v>5150</v>
      </c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 t="str">
        <f>IFERROR(__xludf.DUMMYFUNCTION("""COMPUTED_VALUE"""),"Iovance Biotherapeutics Inc  Com")</f>
        <v>Iovance Biotherapeutics Inc  Com</v>
      </c>
      <c r="B604" s="12" t="str">
        <f>IFERROR(__xludf.DUMMYFUNCTION("""COMPUTED_VALUE"""),"IOVA-US")</f>
        <v>IOVA-US</v>
      </c>
      <c r="C604" s="12"/>
      <c r="D604" s="13">
        <f>IFERROR(__xludf.DUMMYFUNCTION("""COMPUTED_VALUE"""),45421.0)</f>
        <v>45421</v>
      </c>
      <c r="E604" s="13">
        <f>IFERROR(__xludf.DUMMYFUNCTION("""COMPUTED_VALUE"""),45818.0)</f>
        <v>45818</v>
      </c>
      <c r="F604" s="13">
        <f>IFERROR(__xludf.DUMMYFUNCTION("""COMPUTED_VALUE"""),45818.0)</f>
        <v>45818</v>
      </c>
      <c r="G604" s="15" t="s">
        <v>5150</v>
      </c>
      <c r="H604" s="15" t="s">
        <v>5150</v>
      </c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 t="str">
        <f>IFERROR(__xludf.DUMMYFUNCTION("""COMPUTED_VALUE"""),"Green Brick Partners Inc  Com")</f>
        <v>Green Brick Partners Inc  Com</v>
      </c>
      <c r="B605" s="12" t="str">
        <f>IFERROR(__xludf.DUMMYFUNCTION("""COMPUTED_VALUE"""),"GRBK-US")</f>
        <v>GRBK-US</v>
      </c>
      <c r="C605" s="12"/>
      <c r="D605" s="13">
        <f>IFERROR(__xludf.DUMMYFUNCTION("""COMPUTED_VALUE"""),45421.0)</f>
        <v>45421</v>
      </c>
      <c r="E605" s="13">
        <f>IFERROR(__xludf.DUMMYFUNCTION("""COMPUTED_VALUE"""),45818.0)</f>
        <v>45818</v>
      </c>
      <c r="F605" s="13">
        <f>IFERROR(__xludf.DUMMYFUNCTION("""COMPUTED_VALUE"""),45818.0)</f>
        <v>45818</v>
      </c>
      <c r="G605" s="15" t="s">
        <v>5150</v>
      </c>
      <c r="H605" s="15" t="s">
        <v>5150</v>
      </c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 t="str">
        <f>IFERROR(__xludf.DUMMYFUNCTION("""COMPUTED_VALUE"""),"Lendingclub Corp  Com")</f>
        <v>Lendingclub Corp  Com</v>
      </c>
      <c r="B606" s="12" t="str">
        <f>IFERROR(__xludf.DUMMYFUNCTION("""COMPUTED_VALUE"""),"LC-US")</f>
        <v>LC-US</v>
      </c>
      <c r="C606" s="12"/>
      <c r="D606" s="13">
        <f>IFERROR(__xludf.DUMMYFUNCTION("""COMPUTED_VALUE"""),45421.0)</f>
        <v>45421</v>
      </c>
      <c r="E606" s="13">
        <f>IFERROR(__xludf.DUMMYFUNCTION("""COMPUTED_VALUE"""),45811.0)</f>
        <v>45811</v>
      </c>
      <c r="F606" s="13">
        <f>IFERROR(__xludf.DUMMYFUNCTION("""COMPUTED_VALUE"""),45811.0)</f>
        <v>45811</v>
      </c>
      <c r="G606" s="15" t="s">
        <v>5150</v>
      </c>
      <c r="H606" s="15" t="s">
        <v>5150</v>
      </c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 t="str">
        <f>IFERROR(__xludf.DUMMYFUNCTION("""COMPUTED_VALUE"""),"Harmonic Inc  Com")</f>
        <v>Harmonic Inc  Com</v>
      </c>
      <c r="B607" s="12" t="str">
        <f>IFERROR(__xludf.DUMMYFUNCTION("""COMPUTED_VALUE"""),"HLIT-US")</f>
        <v>HLIT-US</v>
      </c>
      <c r="C607" s="12"/>
      <c r="D607" s="13">
        <f>IFERROR(__xludf.DUMMYFUNCTION("""COMPUTED_VALUE"""),45421.0)</f>
        <v>45421</v>
      </c>
      <c r="E607" s="13">
        <f>IFERROR(__xludf.DUMMYFUNCTION("""COMPUTED_VALUE"""),45820.0)</f>
        <v>45820</v>
      </c>
      <c r="F607" s="13">
        <f>IFERROR(__xludf.DUMMYFUNCTION("""COMPUTED_VALUE"""),45820.0)</f>
        <v>45820</v>
      </c>
      <c r="G607" s="15" t="s">
        <v>5150</v>
      </c>
      <c r="H607" s="15" t="s">
        <v>5150</v>
      </c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 t="str">
        <f>IFERROR(__xludf.DUMMYFUNCTION("""COMPUTED_VALUE"""),"Tripadvisor Inc  Com")</f>
        <v>Tripadvisor Inc  Com</v>
      </c>
      <c r="B608" s="12" t="str">
        <f>IFERROR(__xludf.DUMMYFUNCTION("""COMPUTED_VALUE"""),"TRIP-US")</f>
        <v>TRIP-US</v>
      </c>
      <c r="C608" s="12"/>
      <c r="D608" s="13">
        <f>IFERROR(__xludf.DUMMYFUNCTION("""COMPUTED_VALUE"""),45421.0)</f>
        <v>45421</v>
      </c>
      <c r="E608" s="13">
        <f>IFERROR(__xludf.DUMMYFUNCTION("""COMPUTED_VALUE"""),45826.0)</f>
        <v>45826</v>
      </c>
      <c r="F608" s="13">
        <f>IFERROR(__xludf.DUMMYFUNCTION("""COMPUTED_VALUE"""),45826.0)</f>
        <v>45826</v>
      </c>
      <c r="G608" s="15" t="s">
        <v>5150</v>
      </c>
      <c r="H608" s="15" t="s">
        <v>5150</v>
      </c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 t="str">
        <f>IFERROR(__xludf.DUMMYFUNCTION("""COMPUTED_VALUE"""),"Comstock Resources Inc  Com")</f>
        <v>Comstock Resources Inc  Com</v>
      </c>
      <c r="B609" s="12" t="str">
        <f>IFERROR(__xludf.DUMMYFUNCTION("""COMPUTED_VALUE"""),"CRK-US")</f>
        <v>CRK-US</v>
      </c>
      <c r="C609" s="12"/>
      <c r="D609" s="13">
        <f>IFERROR(__xludf.DUMMYFUNCTION("""COMPUTED_VALUE"""),45421.0)</f>
        <v>45421</v>
      </c>
      <c r="E609" s="13">
        <f>IFERROR(__xludf.DUMMYFUNCTION("""COMPUTED_VALUE"""),45811.0)</f>
        <v>45811</v>
      </c>
      <c r="F609" s="13">
        <f>IFERROR(__xludf.DUMMYFUNCTION("""COMPUTED_VALUE"""),45811.0)</f>
        <v>45811</v>
      </c>
      <c r="G609" s="15" t="s">
        <v>5150</v>
      </c>
      <c r="H609" s="15" t="s">
        <v>5150</v>
      </c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 t="str">
        <f>IFERROR(__xludf.DUMMYFUNCTION("""COMPUTED_VALUE"""),"Kaiser Aluminum Corp  Com")</f>
        <v>Kaiser Aluminum Corp  Com</v>
      </c>
      <c r="B610" s="12" t="str">
        <f>IFERROR(__xludf.DUMMYFUNCTION("""COMPUTED_VALUE"""),"KALU-US")</f>
        <v>KALU-US</v>
      </c>
      <c r="C610" s="12"/>
      <c r="D610" s="13">
        <f>IFERROR(__xludf.DUMMYFUNCTION("""COMPUTED_VALUE"""),45421.0)</f>
        <v>45421</v>
      </c>
      <c r="E610" s="13">
        <f>IFERROR(__xludf.DUMMYFUNCTION("""COMPUTED_VALUE"""),45818.0)</f>
        <v>45818</v>
      </c>
      <c r="F610" s="13">
        <f>IFERROR(__xludf.DUMMYFUNCTION("""COMPUTED_VALUE"""),45818.0)</f>
        <v>45818</v>
      </c>
      <c r="G610" s="15" t="s">
        <v>5150</v>
      </c>
      <c r="H610" s="15" t="s">
        <v>5150</v>
      </c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 t="str">
        <f>IFERROR(__xludf.DUMMYFUNCTION("""COMPUTED_VALUE"""),"New Fortress Energy Inc  Cl A")</f>
        <v>New Fortress Energy Inc  Cl A</v>
      </c>
      <c r="B611" s="12" t="str">
        <f>IFERROR(__xludf.DUMMYFUNCTION("""COMPUTED_VALUE"""),"NFE-US")</f>
        <v>NFE-US</v>
      </c>
      <c r="C611" s="12"/>
      <c r="D611" s="13">
        <f>IFERROR(__xludf.DUMMYFUNCTION("""COMPUTED_VALUE"""),45421.0)</f>
        <v>45421</v>
      </c>
      <c r="E611" s="13">
        <f>IFERROR(__xludf.DUMMYFUNCTION("""COMPUTED_VALUE"""),45826.0)</f>
        <v>45826</v>
      </c>
      <c r="F611" s="13">
        <f>IFERROR(__xludf.DUMMYFUNCTION("""COMPUTED_VALUE"""),45826.0)</f>
        <v>45826</v>
      </c>
      <c r="G611" s="15" t="s">
        <v>5150</v>
      </c>
      <c r="H611" s="15" t="s">
        <v>5150</v>
      </c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 t="str">
        <f>IFERROR(__xludf.DUMMYFUNCTION("""COMPUTED_VALUE"""),"Hci Group Inc  Com")</f>
        <v>Hci Group Inc  Com</v>
      </c>
      <c r="B612" s="12" t="str">
        <f>IFERROR(__xludf.DUMMYFUNCTION("""COMPUTED_VALUE"""),"HCI-US")</f>
        <v>HCI-US</v>
      </c>
      <c r="C612" s="12"/>
      <c r="D612" s="13">
        <f>IFERROR(__xludf.DUMMYFUNCTION("""COMPUTED_VALUE"""),45421.0)</f>
        <v>45421</v>
      </c>
      <c r="E612" s="13">
        <f>IFERROR(__xludf.DUMMYFUNCTION("""COMPUTED_VALUE"""),45818.0)</f>
        <v>45818</v>
      </c>
      <c r="F612" s="13">
        <f>IFERROR(__xludf.DUMMYFUNCTION("""COMPUTED_VALUE"""),45818.0)</f>
        <v>45818</v>
      </c>
      <c r="G612" s="15" t="s">
        <v>5150</v>
      </c>
      <c r="H612" s="15" t="s">
        <v>5150</v>
      </c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 t="str">
        <f>IFERROR(__xludf.DUMMYFUNCTION("""COMPUTED_VALUE"""),"Energy Fuels Inc  Com")</f>
        <v>Energy Fuels Inc  Com</v>
      </c>
      <c r="B613" s="12" t="str">
        <f>IFERROR(__xludf.DUMMYFUNCTION("""COMPUTED_VALUE"""),"EFR-CA")</f>
        <v>EFR-CA</v>
      </c>
      <c r="C613" s="12"/>
      <c r="D613" s="13">
        <f>IFERROR(__xludf.DUMMYFUNCTION("""COMPUTED_VALUE"""),45421.0)</f>
        <v>45421</v>
      </c>
      <c r="E613" s="13">
        <f>IFERROR(__xludf.DUMMYFUNCTION("""COMPUTED_VALUE"""),45819.0)</f>
        <v>45819</v>
      </c>
      <c r="F613" s="13">
        <f>IFERROR(__xludf.DUMMYFUNCTION("""COMPUTED_VALUE"""),45819.0)</f>
        <v>45819</v>
      </c>
      <c r="G613" s="16" t="s">
        <v>5152</v>
      </c>
      <c r="H613" s="16" t="s">
        <v>5152</v>
      </c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 t="str">
        <f>IFERROR(__xludf.DUMMYFUNCTION("""COMPUTED_VALUE"""),"Pacira Biosciences Inc  Com")</f>
        <v>Pacira Biosciences Inc  Com</v>
      </c>
      <c r="B614" s="12" t="str">
        <f>IFERROR(__xludf.DUMMYFUNCTION("""COMPUTED_VALUE"""),"PCRX-US")</f>
        <v>PCRX-US</v>
      </c>
      <c r="C614" s="12"/>
      <c r="D614" s="13">
        <f>IFERROR(__xludf.DUMMYFUNCTION("""COMPUTED_VALUE"""),45421.0)</f>
        <v>45421</v>
      </c>
      <c r="E614" s="13">
        <f>IFERROR(__xludf.DUMMYFUNCTION("""COMPUTED_VALUE"""),45818.0)</f>
        <v>45818</v>
      </c>
      <c r="F614" s="13">
        <f>IFERROR(__xludf.DUMMYFUNCTION("""COMPUTED_VALUE"""),45818.0)</f>
        <v>45818</v>
      </c>
      <c r="G614" s="15" t="s">
        <v>5150</v>
      </c>
      <c r="H614" s="15" t="s">
        <v>5150</v>
      </c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 t="str">
        <f>IFERROR(__xludf.DUMMYFUNCTION("""COMPUTED_VALUE"""),"Rex American Resources Corp  Com")</f>
        <v>Rex American Resources Corp  Com</v>
      </c>
      <c r="B615" s="12" t="str">
        <f>IFERROR(__xludf.DUMMYFUNCTION("""COMPUTED_VALUE"""),"REX-US")</f>
        <v>REX-US</v>
      </c>
      <c r="C615" s="12"/>
      <c r="D615" s="13">
        <f>IFERROR(__xludf.DUMMYFUNCTION("""COMPUTED_VALUE"""),45421.0)</f>
        <v>45421</v>
      </c>
      <c r="E615" s="13">
        <f>IFERROR(__xludf.DUMMYFUNCTION("""COMPUTED_VALUE"""),45812.0)</f>
        <v>45812</v>
      </c>
      <c r="F615" s="13">
        <f>IFERROR(__xludf.DUMMYFUNCTION("""COMPUTED_VALUE"""),45812.0)</f>
        <v>45812</v>
      </c>
      <c r="G615" s="15" t="s">
        <v>5150</v>
      </c>
      <c r="H615" s="15" t="s">
        <v>5150</v>
      </c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 t="str">
        <f>IFERROR(__xludf.DUMMYFUNCTION("""COMPUTED_VALUE"""),"Sinclair Inc  Cl A")</f>
        <v>Sinclair Inc  Cl A</v>
      </c>
      <c r="B616" s="12" t="str">
        <f>IFERROR(__xludf.DUMMYFUNCTION("""COMPUTED_VALUE"""),"SBGI-US")</f>
        <v>SBGI-US</v>
      </c>
      <c r="C616" s="12"/>
      <c r="D616" s="13">
        <f>IFERROR(__xludf.DUMMYFUNCTION("""COMPUTED_VALUE"""),45422.0)</f>
        <v>45422</v>
      </c>
      <c r="E616" s="13">
        <f>IFERROR(__xludf.DUMMYFUNCTION("""COMPUTED_VALUE"""),45813.0)</f>
        <v>45813</v>
      </c>
      <c r="F616" s="13">
        <f>IFERROR(__xludf.DUMMYFUNCTION("""COMPUTED_VALUE"""),45813.0)</f>
        <v>45813</v>
      </c>
      <c r="G616" s="15" t="s">
        <v>5150</v>
      </c>
      <c r="H616" s="15" t="s">
        <v>5150</v>
      </c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 t="str">
        <f>IFERROR(__xludf.DUMMYFUNCTION("""COMPUTED_VALUE"""),"Amplitude Inc  Cl A")</f>
        <v>Amplitude Inc  Cl A</v>
      </c>
      <c r="B617" s="12" t="str">
        <f>IFERROR(__xludf.DUMMYFUNCTION("""COMPUTED_VALUE"""),"AMPL-US")</f>
        <v>AMPL-US</v>
      </c>
      <c r="C617" s="12"/>
      <c r="D617" s="13">
        <f>IFERROR(__xludf.DUMMYFUNCTION("""COMPUTED_VALUE"""),45422.0)</f>
        <v>45422</v>
      </c>
      <c r="E617" s="13">
        <f>IFERROR(__xludf.DUMMYFUNCTION("""COMPUTED_VALUE"""),45820.0)</f>
        <v>45820</v>
      </c>
      <c r="F617" s="13">
        <f>IFERROR(__xludf.DUMMYFUNCTION("""COMPUTED_VALUE"""),45820.0)</f>
        <v>45820</v>
      </c>
      <c r="G617" s="15" t="s">
        <v>5150</v>
      </c>
      <c r="H617" s="15" t="s">
        <v>5150</v>
      </c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 t="str">
        <f>IFERROR(__xludf.DUMMYFUNCTION("""COMPUTED_VALUE"""),"Playtika Holding Corp  Com")</f>
        <v>Playtika Holding Corp  Com</v>
      </c>
      <c r="B618" s="12" t="str">
        <f>IFERROR(__xludf.DUMMYFUNCTION("""COMPUTED_VALUE"""),"PLTK-US")</f>
        <v>PLTK-US</v>
      </c>
      <c r="C618" s="12"/>
      <c r="D618" s="13">
        <f>IFERROR(__xludf.DUMMYFUNCTION("""COMPUTED_VALUE"""),45422.0)</f>
        <v>45422</v>
      </c>
      <c r="E618" s="13">
        <f>IFERROR(__xludf.DUMMYFUNCTION("""COMPUTED_VALUE"""),45820.0)</f>
        <v>45820</v>
      </c>
      <c r="F618" s="13">
        <f>IFERROR(__xludf.DUMMYFUNCTION("""COMPUTED_VALUE"""),45820.0)</f>
        <v>45820</v>
      </c>
      <c r="G618" s="15" t="s">
        <v>5150</v>
      </c>
      <c r="H618" s="15" t="s">
        <v>5150</v>
      </c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 t="str">
        <f>IFERROR(__xludf.DUMMYFUNCTION("""COMPUTED_VALUE"""),"Ziprecruiter Inc  Cl A")</f>
        <v>Ziprecruiter Inc  Cl A</v>
      </c>
      <c r="B619" s="12" t="str">
        <f>IFERROR(__xludf.DUMMYFUNCTION("""COMPUTED_VALUE"""),"ZIP-US")</f>
        <v>ZIP-US</v>
      </c>
      <c r="C619" s="12"/>
      <c r="D619" s="13">
        <f>IFERROR(__xludf.DUMMYFUNCTION("""COMPUTED_VALUE"""),45422.0)</f>
        <v>45422</v>
      </c>
      <c r="E619" s="13">
        <f>IFERROR(__xludf.DUMMYFUNCTION("""COMPUTED_VALUE"""),45818.0)</f>
        <v>45818</v>
      </c>
      <c r="F619" s="13">
        <f>IFERROR(__xludf.DUMMYFUNCTION("""COMPUTED_VALUE"""),45818.0)</f>
        <v>45818</v>
      </c>
      <c r="G619" s="15" t="s">
        <v>5150</v>
      </c>
      <c r="H619" s="15" t="s">
        <v>5150</v>
      </c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 t="str">
        <f>IFERROR(__xludf.DUMMYFUNCTION("""COMPUTED_VALUE"""),"Bioventus Inc  Cl A")</f>
        <v>Bioventus Inc  Cl A</v>
      </c>
      <c r="B620" s="12" t="str">
        <f>IFERROR(__xludf.DUMMYFUNCTION("""COMPUTED_VALUE"""),"BVS-US")</f>
        <v>BVS-US</v>
      </c>
      <c r="C620" s="12"/>
      <c r="D620" s="13">
        <f>IFERROR(__xludf.DUMMYFUNCTION("""COMPUTED_VALUE"""),45422.0)</f>
        <v>45422</v>
      </c>
      <c r="E620" s="13">
        <f>IFERROR(__xludf.DUMMYFUNCTION("""COMPUTED_VALUE"""),45811.0)</f>
        <v>45811</v>
      </c>
      <c r="F620" s="13">
        <f>IFERROR(__xludf.DUMMYFUNCTION("""COMPUTED_VALUE"""),45811.0)</f>
        <v>45811</v>
      </c>
      <c r="G620" s="15" t="s">
        <v>5150</v>
      </c>
      <c r="H620" s="15" t="s">
        <v>5150</v>
      </c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 t="str">
        <f>IFERROR(__xludf.DUMMYFUNCTION("""COMPUTED_VALUE"""),"Korro Bio Inc  Com")</f>
        <v>Korro Bio Inc  Com</v>
      </c>
      <c r="B621" s="12" t="str">
        <f>IFERROR(__xludf.DUMMYFUNCTION("""COMPUTED_VALUE"""),"KRRO-US")</f>
        <v>KRRO-US</v>
      </c>
      <c r="C621" s="12"/>
      <c r="D621" s="13">
        <f>IFERROR(__xludf.DUMMYFUNCTION("""COMPUTED_VALUE"""),45422.0)</f>
        <v>45422</v>
      </c>
      <c r="E621" s="13">
        <f>IFERROR(__xludf.DUMMYFUNCTION("""COMPUTED_VALUE"""),45819.0)</f>
        <v>45819</v>
      </c>
      <c r="F621" s="13">
        <f>IFERROR(__xludf.DUMMYFUNCTION("""COMPUTED_VALUE"""),45819.0)</f>
        <v>45819</v>
      </c>
      <c r="G621" s="15" t="s">
        <v>5150</v>
      </c>
      <c r="H621" s="15" t="s">
        <v>5150</v>
      </c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 t="str">
        <f>IFERROR(__xludf.DUMMYFUNCTION("""COMPUTED_VALUE"""),"Immunitybio Inc  Com")</f>
        <v>Immunitybio Inc  Com</v>
      </c>
      <c r="B622" s="12" t="str">
        <f>IFERROR(__xludf.DUMMYFUNCTION("""COMPUTED_VALUE"""),"IBRX-US")</f>
        <v>IBRX-US</v>
      </c>
      <c r="C622" s="12"/>
      <c r="D622" s="13">
        <f>IFERROR(__xludf.DUMMYFUNCTION("""COMPUTED_VALUE"""),45422.0)</f>
        <v>45422</v>
      </c>
      <c r="E622" s="13">
        <f>IFERROR(__xludf.DUMMYFUNCTION("""COMPUTED_VALUE"""),45826.0)</f>
        <v>45826</v>
      </c>
      <c r="F622" s="13">
        <f>IFERROR(__xludf.DUMMYFUNCTION("""COMPUTED_VALUE"""),45826.0)</f>
        <v>45826</v>
      </c>
      <c r="G622" s="15" t="s">
        <v>5150</v>
      </c>
      <c r="H622" s="15" t="s">
        <v>5150</v>
      </c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 t="str">
        <f>IFERROR(__xludf.DUMMYFUNCTION("""COMPUTED_VALUE"""),"Humacyte Inc  Com")</f>
        <v>Humacyte Inc  Com</v>
      </c>
      <c r="B623" s="12" t="str">
        <f>IFERROR(__xludf.DUMMYFUNCTION("""COMPUTED_VALUE"""),"HUMA-US")</f>
        <v>HUMA-US</v>
      </c>
      <c r="C623" s="12"/>
      <c r="D623" s="13">
        <f>IFERROR(__xludf.DUMMYFUNCTION("""COMPUTED_VALUE"""),45422.0)</f>
        <v>45422</v>
      </c>
      <c r="E623" s="13">
        <f>IFERROR(__xludf.DUMMYFUNCTION("""COMPUTED_VALUE"""),45818.0)</f>
        <v>45818</v>
      </c>
      <c r="F623" s="13">
        <f>IFERROR(__xludf.DUMMYFUNCTION("""COMPUTED_VALUE"""),45818.0)</f>
        <v>45818</v>
      </c>
      <c r="G623" s="15" t="s">
        <v>5150</v>
      </c>
      <c r="H623" s="15" t="s">
        <v>5150</v>
      </c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 t="str">
        <f>IFERROR(__xludf.DUMMYFUNCTION("""COMPUTED_VALUE"""),"Maxcyte Inc  Com")</f>
        <v>Maxcyte Inc  Com</v>
      </c>
      <c r="B624" s="12" t="str">
        <f>IFERROR(__xludf.DUMMYFUNCTION("""COMPUTED_VALUE"""),"MXCT-US")</f>
        <v>MXCT-US</v>
      </c>
      <c r="C624" s="12"/>
      <c r="D624" s="13">
        <f>IFERROR(__xludf.DUMMYFUNCTION("""COMPUTED_VALUE"""),45422.0)</f>
        <v>45422</v>
      </c>
      <c r="E624" s="13">
        <f>IFERROR(__xludf.DUMMYFUNCTION("""COMPUTED_VALUE"""),45826.0)</f>
        <v>45826</v>
      </c>
      <c r="F624" s="13">
        <f>IFERROR(__xludf.DUMMYFUNCTION("""COMPUTED_VALUE"""),45826.0)</f>
        <v>45826</v>
      </c>
      <c r="G624" s="15" t="s">
        <v>5150</v>
      </c>
      <c r="H624" s="15" t="s">
        <v>5150</v>
      </c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 t="str">
        <f>IFERROR(__xludf.DUMMYFUNCTION("""COMPUTED_VALUE"""),"Lovesac Co  Com")</f>
        <v>Lovesac Co  Com</v>
      </c>
      <c r="B625" s="12" t="str">
        <f>IFERROR(__xludf.DUMMYFUNCTION("""COMPUTED_VALUE"""),"LOVE-US")</f>
        <v>LOVE-US</v>
      </c>
      <c r="C625" s="12"/>
      <c r="D625" s="13">
        <f>IFERROR(__xludf.DUMMYFUNCTION("""COMPUTED_VALUE"""),45422.0)</f>
        <v>45422</v>
      </c>
      <c r="E625" s="13">
        <f>IFERROR(__xludf.DUMMYFUNCTION("""COMPUTED_VALUE"""),45818.0)</f>
        <v>45818</v>
      </c>
      <c r="F625" s="13">
        <f>IFERROR(__xludf.DUMMYFUNCTION("""COMPUTED_VALUE"""),45818.0)</f>
        <v>45818</v>
      </c>
      <c r="G625" s="15" t="s">
        <v>5150</v>
      </c>
      <c r="H625" s="15" t="s">
        <v>5150</v>
      </c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 t="str">
        <f>IFERROR(__xludf.DUMMYFUNCTION("""COMPUTED_VALUE"""),"Orchid Island Capital Inc  Com")</f>
        <v>Orchid Island Capital Inc  Com</v>
      </c>
      <c r="B626" s="12" t="str">
        <f>IFERROR(__xludf.DUMMYFUNCTION("""COMPUTED_VALUE"""),"ORC-US")</f>
        <v>ORC-US</v>
      </c>
      <c r="C626" s="12"/>
      <c r="D626" s="13">
        <f>IFERROR(__xludf.DUMMYFUNCTION("""COMPUTED_VALUE"""),45422.0)</f>
        <v>45422</v>
      </c>
      <c r="E626" s="13">
        <f>IFERROR(__xludf.DUMMYFUNCTION("""COMPUTED_VALUE"""),45818.0)</f>
        <v>45818</v>
      </c>
      <c r="F626" s="13">
        <f>IFERROR(__xludf.DUMMYFUNCTION("""COMPUTED_VALUE"""),45818.0)</f>
        <v>45818</v>
      </c>
      <c r="G626" s="15" t="s">
        <v>5150</v>
      </c>
      <c r="H626" s="15" t="s">
        <v>5150</v>
      </c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 t="str">
        <f>IFERROR(__xludf.DUMMYFUNCTION("""COMPUTED_VALUE"""),"Codexis Inc  Com")</f>
        <v>Codexis Inc  Com</v>
      </c>
      <c r="B627" s="12" t="str">
        <f>IFERROR(__xludf.DUMMYFUNCTION("""COMPUTED_VALUE"""),"CDXS-US")</f>
        <v>CDXS-US</v>
      </c>
      <c r="C627" s="12"/>
      <c r="D627" s="13">
        <f>IFERROR(__xludf.DUMMYFUNCTION("""COMPUTED_VALUE"""),45422.0)</f>
        <v>45422</v>
      </c>
      <c r="E627" s="13">
        <f>IFERROR(__xludf.DUMMYFUNCTION("""COMPUTED_VALUE"""),45818.0)</f>
        <v>45818</v>
      </c>
      <c r="F627" s="13">
        <f>IFERROR(__xludf.DUMMYFUNCTION("""COMPUTED_VALUE"""),45818.0)</f>
        <v>45818</v>
      </c>
      <c r="G627" s="15" t="s">
        <v>5150</v>
      </c>
      <c r="H627" s="15" t="s">
        <v>5150</v>
      </c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 t="str">
        <f>IFERROR(__xludf.DUMMYFUNCTION("""COMPUTED_VALUE"""),"Siga Technologies Inc  Com")</f>
        <v>Siga Technologies Inc  Com</v>
      </c>
      <c r="B628" s="12" t="str">
        <f>IFERROR(__xludf.DUMMYFUNCTION("""COMPUTED_VALUE"""),"SIGA-US")</f>
        <v>SIGA-US</v>
      </c>
      <c r="C628" s="12"/>
      <c r="D628" s="13">
        <f>IFERROR(__xludf.DUMMYFUNCTION("""COMPUTED_VALUE"""),45422.0)</f>
        <v>45422</v>
      </c>
      <c r="E628" s="13">
        <f>IFERROR(__xludf.DUMMYFUNCTION("""COMPUTED_VALUE"""),45818.0)</f>
        <v>45818</v>
      </c>
      <c r="F628" s="13">
        <f>IFERROR(__xludf.DUMMYFUNCTION("""COMPUTED_VALUE"""),45818.0)</f>
        <v>45818</v>
      </c>
      <c r="G628" s="15" t="s">
        <v>5150</v>
      </c>
      <c r="H628" s="15" t="s">
        <v>5150</v>
      </c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 t="str">
        <f>IFERROR(__xludf.DUMMYFUNCTION("""COMPUTED_VALUE"""),"Y Mabs Therapeutics Inc  Com")</f>
        <v>Y Mabs Therapeutics Inc  Com</v>
      </c>
      <c r="B629" s="12" t="str">
        <f>IFERROR(__xludf.DUMMYFUNCTION("""COMPUTED_VALUE"""),"YMAB-US")</f>
        <v>YMAB-US</v>
      </c>
      <c r="C629" s="12"/>
      <c r="D629" s="13">
        <f>IFERROR(__xludf.DUMMYFUNCTION("""COMPUTED_VALUE"""),45422.0)</f>
        <v>45422</v>
      </c>
      <c r="E629" s="13">
        <f>IFERROR(__xludf.DUMMYFUNCTION("""COMPUTED_VALUE"""),45849.0)</f>
        <v>45849</v>
      </c>
      <c r="F629" s="13">
        <f>IFERROR(__xludf.DUMMYFUNCTION("""COMPUTED_VALUE"""),45849.0)</f>
        <v>45849</v>
      </c>
      <c r="G629" s="15" t="s">
        <v>5150</v>
      </c>
      <c r="H629" s="15" t="s">
        <v>5150</v>
      </c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 t="str">
        <f>IFERROR(__xludf.DUMMYFUNCTION("""COMPUTED_VALUE"""),"Nexpoint Diversified Real Estat  Com")</f>
        <v>Nexpoint Diversified Real Estat  Com</v>
      </c>
      <c r="B630" s="12" t="str">
        <f>IFERROR(__xludf.DUMMYFUNCTION("""COMPUTED_VALUE"""),"NXDT-US")</f>
        <v>NXDT-US</v>
      </c>
      <c r="C630" s="12"/>
      <c r="D630" s="13">
        <f>IFERROR(__xludf.DUMMYFUNCTION("""COMPUTED_VALUE"""),45422.0)</f>
        <v>45422</v>
      </c>
      <c r="E630" s="13">
        <f>IFERROR(__xludf.DUMMYFUNCTION("""COMPUTED_VALUE"""),45818.0)</f>
        <v>45818</v>
      </c>
      <c r="F630" s="13">
        <f>IFERROR(__xludf.DUMMYFUNCTION("""COMPUTED_VALUE"""),45818.0)</f>
        <v>45818</v>
      </c>
      <c r="G630" s="15" t="s">
        <v>5150</v>
      </c>
      <c r="H630" s="15" t="s">
        <v>5150</v>
      </c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 t="str">
        <f>IFERROR(__xludf.DUMMYFUNCTION("""COMPUTED_VALUE"""),"Iteos Therapeutics Inc  Com")</f>
        <v>Iteos Therapeutics Inc  Com</v>
      </c>
      <c r="B631" s="12" t="str">
        <f>IFERROR(__xludf.DUMMYFUNCTION("""COMPUTED_VALUE"""),"ITOS-US")</f>
        <v>ITOS-US</v>
      </c>
      <c r="C631" s="12"/>
      <c r="D631" s="13">
        <f>IFERROR(__xludf.DUMMYFUNCTION("""COMPUTED_VALUE"""),45422.0)</f>
        <v>45422</v>
      </c>
      <c r="E631" s="13">
        <f>IFERROR(__xludf.DUMMYFUNCTION("""COMPUTED_VALUE"""),45825.0)</f>
        <v>45825</v>
      </c>
      <c r="F631" s="13">
        <f>IFERROR(__xludf.DUMMYFUNCTION("""COMPUTED_VALUE"""),45825.0)</f>
        <v>45825</v>
      </c>
      <c r="G631" s="15" t="s">
        <v>5150</v>
      </c>
      <c r="H631" s="15" t="s">
        <v>5150</v>
      </c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 t="str">
        <f>IFERROR(__xludf.DUMMYFUNCTION("""COMPUTED_VALUE"""),"Domo Inc  Cl B")</f>
        <v>Domo Inc  Cl B</v>
      </c>
      <c r="B632" s="12" t="str">
        <f>IFERROR(__xludf.DUMMYFUNCTION("""COMPUTED_VALUE"""),"DOMO-US")</f>
        <v>DOMO-US</v>
      </c>
      <c r="C632" s="12"/>
      <c r="D632" s="13">
        <f>IFERROR(__xludf.DUMMYFUNCTION("""COMPUTED_VALUE"""),45422.0)</f>
        <v>45422</v>
      </c>
      <c r="E632" s="13">
        <f>IFERROR(__xludf.DUMMYFUNCTION("""COMPUTED_VALUE"""),45832.0)</f>
        <v>45832</v>
      </c>
      <c r="F632" s="13">
        <f>IFERROR(__xludf.DUMMYFUNCTION("""COMPUTED_VALUE"""),45832.0)</f>
        <v>45832</v>
      </c>
      <c r="G632" s="16" t="s">
        <v>5152</v>
      </c>
      <c r="H632" s="16" t="s">
        <v>5152</v>
      </c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 t="str">
        <f>IFERROR(__xludf.DUMMYFUNCTION("""COMPUTED_VALUE"""),"Scpharmaceuticals Inc  Com")</f>
        <v>Scpharmaceuticals Inc  Com</v>
      </c>
      <c r="B633" s="12" t="str">
        <f>IFERROR(__xludf.DUMMYFUNCTION("""COMPUTED_VALUE"""),"SCPH-US")</f>
        <v>SCPH-US</v>
      </c>
      <c r="C633" s="12"/>
      <c r="D633" s="13">
        <f>IFERROR(__xludf.DUMMYFUNCTION("""COMPUTED_VALUE"""),45422.0)</f>
        <v>45422</v>
      </c>
      <c r="E633" s="13">
        <f>IFERROR(__xludf.DUMMYFUNCTION("""COMPUTED_VALUE"""),45811.0)</f>
        <v>45811</v>
      </c>
      <c r="F633" s="13">
        <f>IFERROR(__xludf.DUMMYFUNCTION("""COMPUTED_VALUE"""),45811.0)</f>
        <v>45811</v>
      </c>
      <c r="G633" s="16" t="s">
        <v>5150</v>
      </c>
      <c r="H633" s="16" t="s">
        <v>5150</v>
      </c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 t="str">
        <f>IFERROR(__xludf.DUMMYFUNCTION("""COMPUTED_VALUE"""),"Soundthinking Inc  Com")</f>
        <v>Soundthinking Inc  Com</v>
      </c>
      <c r="B634" s="12" t="str">
        <f>IFERROR(__xludf.DUMMYFUNCTION("""COMPUTED_VALUE"""),"SSTI-US")</f>
        <v>SSTI-US</v>
      </c>
      <c r="C634" s="12"/>
      <c r="D634" s="13">
        <f>IFERROR(__xludf.DUMMYFUNCTION("""COMPUTED_VALUE"""),45422.0)</f>
        <v>45422</v>
      </c>
      <c r="E634" s="13">
        <f>IFERROR(__xludf.DUMMYFUNCTION("""COMPUTED_VALUE"""),45812.0)</f>
        <v>45812</v>
      </c>
      <c r="F634" s="13">
        <f>IFERROR(__xludf.DUMMYFUNCTION("""COMPUTED_VALUE"""),45812.0)</f>
        <v>45812</v>
      </c>
      <c r="G634" s="16" t="s">
        <v>5150</v>
      </c>
      <c r="H634" s="16" t="s">
        <v>5150</v>
      </c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 t="str">
        <f>IFERROR(__xludf.DUMMYFUNCTION("""COMPUTED_VALUE"""),"Modivcare Inc  Com")</f>
        <v>Modivcare Inc  Com</v>
      </c>
      <c r="B635" s="12" t="str">
        <f>IFERROR(__xludf.DUMMYFUNCTION("""COMPUTED_VALUE"""),"MODV-US")</f>
        <v>MODV-US</v>
      </c>
      <c r="C635" s="12"/>
      <c r="D635" s="13">
        <f>IFERROR(__xludf.DUMMYFUNCTION("""COMPUTED_VALUE"""),45422.0)</f>
        <v>45422</v>
      </c>
      <c r="E635" s="13">
        <f>IFERROR(__xludf.DUMMYFUNCTION("""COMPUTED_VALUE"""),45825.0)</f>
        <v>45825</v>
      </c>
      <c r="F635" s="13">
        <f>IFERROR(__xludf.DUMMYFUNCTION("""COMPUTED_VALUE"""),45825.0)</f>
        <v>45825</v>
      </c>
      <c r="G635" s="16" t="s">
        <v>5150</v>
      </c>
      <c r="H635" s="16" t="s">
        <v>5150</v>
      </c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 t="str">
        <f>IFERROR(__xludf.DUMMYFUNCTION("""COMPUTED_VALUE"""),"Mersana Therapeutics Inc  Com")</f>
        <v>Mersana Therapeutics Inc  Com</v>
      </c>
      <c r="B636" s="12" t="str">
        <f>IFERROR(__xludf.DUMMYFUNCTION("""COMPUTED_VALUE"""),"MRSN-US")</f>
        <v>MRSN-US</v>
      </c>
      <c r="C636" s="12"/>
      <c r="D636" s="13">
        <f>IFERROR(__xludf.DUMMYFUNCTION("""COMPUTED_VALUE"""),45422.0)</f>
        <v>45422</v>
      </c>
      <c r="E636" s="13">
        <f>IFERROR(__xludf.DUMMYFUNCTION("""COMPUTED_VALUE"""),45820.0)</f>
        <v>45820</v>
      </c>
      <c r="F636" s="13">
        <f>IFERROR(__xludf.DUMMYFUNCTION("""COMPUTED_VALUE"""),45820.0)</f>
        <v>45820</v>
      </c>
      <c r="G636" s="16" t="s">
        <v>5150</v>
      </c>
      <c r="H636" s="16" t="s">
        <v>5150</v>
      </c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 t="str">
        <f>IFERROR(__xludf.DUMMYFUNCTION("""COMPUTED_VALUE"""),"Agenus Inc  Com")</f>
        <v>Agenus Inc  Com</v>
      </c>
      <c r="B637" s="12" t="str">
        <f>IFERROR(__xludf.DUMMYFUNCTION("""COMPUTED_VALUE"""),"AGEN-US")</f>
        <v>AGEN-US</v>
      </c>
      <c r="C637" s="12"/>
      <c r="D637" s="13">
        <f>IFERROR(__xludf.DUMMYFUNCTION("""COMPUTED_VALUE"""),45422.0)</f>
        <v>45422</v>
      </c>
      <c r="E637" s="13">
        <f>IFERROR(__xludf.DUMMYFUNCTION("""COMPUTED_VALUE"""),45825.0)</f>
        <v>45825</v>
      </c>
      <c r="F637" s="13">
        <f>IFERROR(__xludf.DUMMYFUNCTION("""COMPUTED_VALUE"""),45825.0)</f>
        <v>45825</v>
      </c>
      <c r="G637" s="16" t="s">
        <v>5150</v>
      </c>
      <c r="H637" s="16" t="s">
        <v>5150</v>
      </c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 t="str">
        <f>IFERROR(__xludf.DUMMYFUNCTION("""COMPUTED_VALUE"""),"Comcast Corp  Cl A")</f>
        <v>Comcast Corp  Cl A</v>
      </c>
      <c r="B638" s="12" t="str">
        <f>IFERROR(__xludf.DUMMYFUNCTION("""COMPUTED_VALUE"""),"CMCSA-US")</f>
        <v>CMCSA-US</v>
      </c>
      <c r="C638" s="12"/>
      <c r="D638" s="13">
        <f>IFERROR(__xludf.DUMMYFUNCTION("""COMPUTED_VALUE"""),45422.0)</f>
        <v>45422</v>
      </c>
      <c r="E638" s="13">
        <f>IFERROR(__xludf.DUMMYFUNCTION("""COMPUTED_VALUE"""),45826.0)</f>
        <v>45826</v>
      </c>
      <c r="F638" s="13">
        <f>IFERROR(__xludf.DUMMYFUNCTION("""COMPUTED_VALUE"""),45826.0)</f>
        <v>45826</v>
      </c>
      <c r="G638" s="16" t="s">
        <v>5150</v>
      </c>
      <c r="H638" s="16" t="s">
        <v>5150</v>
      </c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 t="str">
        <f>IFERROR(__xludf.DUMMYFUNCTION("""COMPUTED_VALUE"""),"Keurig Dr Pepper Inc  Com")</f>
        <v>Keurig Dr Pepper Inc  Com</v>
      </c>
      <c r="B639" s="12" t="str">
        <f>IFERROR(__xludf.DUMMYFUNCTION("""COMPUTED_VALUE"""),"KDP-US")</f>
        <v>KDP-US</v>
      </c>
      <c r="C639" s="12"/>
      <c r="D639" s="13">
        <f>IFERROR(__xludf.DUMMYFUNCTION("""COMPUTED_VALUE"""),44692.0)</f>
        <v>44692</v>
      </c>
      <c r="E639" s="13">
        <f>IFERROR(__xludf.DUMMYFUNCTION("""COMPUTED_VALUE"""),45826.0)</f>
        <v>45826</v>
      </c>
      <c r="F639" s="13">
        <f>IFERROR(__xludf.DUMMYFUNCTION("""COMPUTED_VALUE"""),45826.0)</f>
        <v>45826</v>
      </c>
      <c r="G639" s="16" t="s">
        <v>5150</v>
      </c>
      <c r="H639" s="16" t="s">
        <v>5150</v>
      </c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 t="str">
        <f>IFERROR(__xludf.DUMMYFUNCTION("""COMPUTED_VALUE"""),"Liberty Media Corp  Cl C Lib Formula")</f>
        <v>Liberty Media Corp  Cl C Lib Formula</v>
      </c>
      <c r="B640" s="12" t="str">
        <f>IFERROR(__xludf.DUMMYFUNCTION("""COMPUTED_VALUE"""),"FWONK-US")</f>
        <v>FWONK-US</v>
      </c>
      <c r="C640" s="12"/>
      <c r="D640" s="13">
        <f>IFERROR(__xludf.DUMMYFUNCTION("""COMPUTED_VALUE"""),45057.0)</f>
        <v>45057</v>
      </c>
      <c r="E640" s="13">
        <f>IFERROR(__xludf.DUMMYFUNCTION("""COMPUTED_VALUE"""),45789.0)</f>
        <v>45789</v>
      </c>
      <c r="F640" s="13">
        <f>IFERROR(__xludf.DUMMYFUNCTION("""COMPUTED_VALUE"""),45789.0)</f>
        <v>45789</v>
      </c>
      <c r="G640" s="16" t="s">
        <v>5150</v>
      </c>
      <c r="H640" s="16" t="s">
        <v>5150</v>
      </c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 t="str">
        <f>IFERROR(__xludf.DUMMYFUNCTION("""COMPUTED_VALUE"""),"Liberty Broadband Corp  Cl C")</f>
        <v>Liberty Broadband Corp  Cl C</v>
      </c>
      <c r="B641" s="12" t="str">
        <f>IFERROR(__xludf.DUMMYFUNCTION("""COMPUTED_VALUE"""),"LBRDK-US")</f>
        <v>LBRDK-US</v>
      </c>
      <c r="C641" s="12"/>
      <c r="D641" s="13">
        <f>IFERROR(__xludf.DUMMYFUNCTION("""COMPUTED_VALUE"""),45057.0)</f>
        <v>45057</v>
      </c>
      <c r="E641" s="13">
        <f>IFERROR(__xludf.DUMMYFUNCTION("""COMPUTED_VALUE"""),45789.0)</f>
        <v>45789</v>
      </c>
      <c r="F641" s="13">
        <f>IFERROR(__xludf.DUMMYFUNCTION("""COMPUTED_VALUE"""),45789.0)</f>
        <v>45789</v>
      </c>
      <c r="G641" s="16" t="s">
        <v>5150</v>
      </c>
      <c r="H641" s="16" t="s">
        <v>5150</v>
      </c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 t="str">
        <f>IFERROR(__xludf.DUMMYFUNCTION("""COMPUTED_VALUE"""),"Semtech Corp  Com")</f>
        <v>Semtech Corp  Com</v>
      </c>
      <c r="B642" s="12" t="str">
        <f>IFERROR(__xludf.DUMMYFUNCTION("""COMPUTED_VALUE"""),"SMTC-US")</f>
        <v>SMTC-US</v>
      </c>
      <c r="C642" s="12"/>
      <c r="D642" s="13">
        <f>IFERROR(__xludf.DUMMYFUNCTION("""COMPUTED_VALUE"""),45057.0)</f>
        <v>45057</v>
      </c>
      <c r="E642" s="13">
        <f>IFERROR(__xludf.DUMMYFUNCTION("""COMPUTED_VALUE"""),45813.0)</f>
        <v>45813</v>
      </c>
      <c r="F642" s="13">
        <f>IFERROR(__xludf.DUMMYFUNCTION("""COMPUTED_VALUE"""),45813.0)</f>
        <v>45813</v>
      </c>
      <c r="G642" s="16" t="s">
        <v>5150</v>
      </c>
      <c r="H642" s="16" t="s">
        <v>5150</v>
      </c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 t="str">
        <f>IFERROR(__xludf.DUMMYFUNCTION("""COMPUTED_VALUE"""),"Liberty Media Corp  Cl A Lib Formula")</f>
        <v>Liberty Media Corp  Cl A Lib Formula</v>
      </c>
      <c r="B643" s="12" t="str">
        <f>IFERROR(__xludf.DUMMYFUNCTION("""COMPUTED_VALUE"""),"FWONA-US")</f>
        <v>FWONA-US</v>
      </c>
      <c r="C643" s="12"/>
      <c r="D643" s="13">
        <f>IFERROR(__xludf.DUMMYFUNCTION("""COMPUTED_VALUE"""),45057.0)</f>
        <v>45057</v>
      </c>
      <c r="E643" s="13">
        <f>IFERROR(__xludf.DUMMYFUNCTION("""COMPUTED_VALUE"""),45789.0)</f>
        <v>45789</v>
      </c>
      <c r="F643" s="13">
        <f>IFERROR(__xludf.DUMMYFUNCTION("""COMPUTED_VALUE"""),45789.0)</f>
        <v>45789</v>
      </c>
      <c r="G643" s="16" t="s">
        <v>5150</v>
      </c>
      <c r="H643" s="16" t="s">
        <v>5150</v>
      </c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 t="str">
        <f>IFERROR(__xludf.DUMMYFUNCTION("""COMPUTED_VALUE"""),"Atlanta Braves Holdings Inc  Cl C")</f>
        <v>Atlanta Braves Holdings Inc  Cl C</v>
      </c>
      <c r="B644" s="12" t="str">
        <f>IFERROR(__xludf.DUMMYFUNCTION("""COMPUTED_VALUE"""),"BATRK-US")</f>
        <v>BATRK-US</v>
      </c>
      <c r="C644" s="12"/>
      <c r="D644" s="13">
        <f>IFERROR(__xludf.DUMMYFUNCTION("""COMPUTED_VALUE"""),45423.0)</f>
        <v>45423</v>
      </c>
      <c r="E644" s="13">
        <f>IFERROR(__xludf.DUMMYFUNCTION("""COMPUTED_VALUE"""),45818.0)</f>
        <v>45818</v>
      </c>
      <c r="F644" s="13">
        <f>IFERROR(__xludf.DUMMYFUNCTION("""COMPUTED_VALUE"""),45818.0)</f>
        <v>45818</v>
      </c>
      <c r="G644" s="16" t="s">
        <v>5150</v>
      </c>
      <c r="H644" s="16" t="s">
        <v>5150</v>
      </c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 t="str">
        <f>IFERROR(__xludf.DUMMYFUNCTION("""COMPUTED_VALUE"""),"First Commonwealth Financial  Com")</f>
        <v>First Commonwealth Financial  Com</v>
      </c>
      <c r="B645" s="12" t="str">
        <f>IFERROR(__xludf.DUMMYFUNCTION("""COMPUTED_VALUE"""),"FCF-US")</f>
        <v>FCF-US</v>
      </c>
      <c r="C645" s="12"/>
      <c r="D645" s="13">
        <f>IFERROR(__xludf.DUMMYFUNCTION("""COMPUTED_VALUE"""),45425.0)</f>
        <v>45425</v>
      </c>
      <c r="E645" s="13">
        <f>IFERROR(__xludf.DUMMYFUNCTION("""COMPUTED_VALUE"""),45776.0)</f>
        <v>45776</v>
      </c>
      <c r="F645" s="13">
        <f>IFERROR(__xludf.DUMMYFUNCTION("""COMPUTED_VALUE"""),45776.0)</f>
        <v>45776</v>
      </c>
      <c r="G645" s="16" t="s">
        <v>5150</v>
      </c>
      <c r="H645" s="16" t="s">
        <v>5150</v>
      </c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 t="str">
        <f>IFERROR(__xludf.DUMMYFUNCTION("""COMPUTED_VALUE"""),"Liberty Broadband Corp  Cl A")</f>
        <v>Liberty Broadband Corp  Cl A</v>
      </c>
      <c r="B646" s="12" t="str">
        <f>IFERROR(__xludf.DUMMYFUNCTION("""COMPUTED_VALUE"""),"LBRDA-US")</f>
        <v>LBRDA-US</v>
      </c>
      <c r="C646" s="12"/>
      <c r="D646" s="13">
        <f>IFERROR(__xludf.DUMMYFUNCTION("""COMPUTED_VALUE"""),45425.0)</f>
        <v>45425</v>
      </c>
      <c r="E646" s="13">
        <f>IFERROR(__xludf.DUMMYFUNCTION("""COMPUTED_VALUE"""),45789.0)</f>
        <v>45789</v>
      </c>
      <c r="F646" s="13">
        <f>IFERROR(__xludf.DUMMYFUNCTION("""COMPUTED_VALUE"""),45789.0)</f>
        <v>45789</v>
      </c>
      <c r="G646" s="16" t="s">
        <v>5150</v>
      </c>
      <c r="H646" s="16" t="s">
        <v>5150</v>
      </c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 t="str">
        <f>IFERROR(__xludf.DUMMYFUNCTION("""COMPUTED_VALUE"""),"Dream Finders Homes Inc  Cl A")</f>
        <v>Dream Finders Homes Inc  Cl A</v>
      </c>
      <c r="B647" s="12" t="str">
        <f>IFERROR(__xludf.DUMMYFUNCTION("""COMPUTED_VALUE"""),"DFH-US")</f>
        <v>DFH-US</v>
      </c>
      <c r="C647" s="12"/>
      <c r="D647" s="13">
        <f>IFERROR(__xludf.DUMMYFUNCTION("""COMPUTED_VALUE"""),45425.0)</f>
        <v>45425</v>
      </c>
      <c r="E647" s="13">
        <f>IFERROR(__xludf.DUMMYFUNCTION("""COMPUTED_VALUE"""),45817.0)</f>
        <v>45817</v>
      </c>
      <c r="F647" s="13">
        <f>IFERROR(__xludf.DUMMYFUNCTION("""COMPUTED_VALUE"""),45817.0)</f>
        <v>45817</v>
      </c>
      <c r="G647" s="16" t="s">
        <v>5150</v>
      </c>
      <c r="H647" s="16" t="s">
        <v>5150</v>
      </c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 t="str">
        <f>IFERROR(__xludf.DUMMYFUNCTION("""COMPUTED_VALUE"""),"Mind Medicine Mindmed Inc  Com")</f>
        <v>Mind Medicine Mindmed Inc  Com</v>
      </c>
      <c r="B648" s="12" t="str">
        <f>IFERROR(__xludf.DUMMYFUNCTION("""COMPUTED_VALUE"""),"MNMD-US")</f>
        <v>MNMD-US</v>
      </c>
      <c r="C648" s="12"/>
      <c r="D648" s="13">
        <f>IFERROR(__xludf.DUMMYFUNCTION("""COMPUTED_VALUE"""),45425.0)</f>
        <v>45425</v>
      </c>
      <c r="E648" s="13">
        <f>IFERROR(__xludf.DUMMYFUNCTION("""COMPUTED_VALUE"""),45820.0)</f>
        <v>45820</v>
      </c>
      <c r="F648" s="13">
        <f>IFERROR(__xludf.DUMMYFUNCTION("""COMPUTED_VALUE"""),45820.0)</f>
        <v>45820</v>
      </c>
      <c r="G648" s="16" t="s">
        <v>5150</v>
      </c>
      <c r="H648" s="16" t="s">
        <v>5150</v>
      </c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 t="str">
        <f>IFERROR(__xludf.DUMMYFUNCTION("""COMPUTED_VALUE"""),"Atlanta Braves Holdings Inc  Cl A")</f>
        <v>Atlanta Braves Holdings Inc  Cl A</v>
      </c>
      <c r="B649" s="12" t="str">
        <f>IFERROR(__xludf.DUMMYFUNCTION("""COMPUTED_VALUE"""),"BATRA-US")</f>
        <v>BATRA-US</v>
      </c>
      <c r="C649" s="12"/>
      <c r="D649" s="13">
        <f>IFERROR(__xludf.DUMMYFUNCTION("""COMPUTED_VALUE"""),45425.0)</f>
        <v>45425</v>
      </c>
      <c r="E649" s="13">
        <f>IFERROR(__xludf.DUMMYFUNCTION("""COMPUTED_VALUE"""),45818.0)</f>
        <v>45818</v>
      </c>
      <c r="F649" s="13">
        <f>IFERROR(__xludf.DUMMYFUNCTION("""COMPUTED_VALUE"""),45818.0)</f>
        <v>45818</v>
      </c>
      <c r="G649" s="16" t="s">
        <v>5150</v>
      </c>
      <c r="H649" s="16" t="s">
        <v>5150</v>
      </c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 t="str">
        <f>IFERROR(__xludf.DUMMYFUNCTION("""COMPUTED_VALUE"""),"One Liberty Properties Inc  Com")</f>
        <v>One Liberty Properties Inc  Com</v>
      </c>
      <c r="B650" s="12" t="str">
        <f>IFERROR(__xludf.DUMMYFUNCTION("""COMPUTED_VALUE"""),"OLP-US")</f>
        <v>OLP-US</v>
      </c>
      <c r="C650" s="12"/>
      <c r="D650" s="13">
        <f>IFERROR(__xludf.DUMMYFUNCTION("""COMPUTED_VALUE"""),45425.0)</f>
        <v>45425</v>
      </c>
      <c r="E650" s="13">
        <f>IFERROR(__xludf.DUMMYFUNCTION("""COMPUTED_VALUE"""),45813.0)</f>
        <v>45813</v>
      </c>
      <c r="F650" s="13">
        <f>IFERROR(__xludf.DUMMYFUNCTION("""COMPUTED_VALUE"""),45813.0)</f>
        <v>45813</v>
      </c>
      <c r="G650" s="16" t="s">
        <v>5150</v>
      </c>
      <c r="H650" s="16" t="s">
        <v>5150</v>
      </c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 t="str">
        <f>IFERROR(__xludf.DUMMYFUNCTION("""COMPUTED_VALUE"""),"Sage Therapeutics Inc  Com")</f>
        <v>Sage Therapeutics Inc  Com</v>
      </c>
      <c r="B651" s="12" t="str">
        <f>IFERROR(__xludf.DUMMYFUNCTION("""COMPUTED_VALUE"""),"SAGE-US")</f>
        <v>SAGE-US</v>
      </c>
      <c r="C651" s="12"/>
      <c r="D651" s="13">
        <f>IFERROR(__xludf.DUMMYFUNCTION("""COMPUTED_VALUE"""),45425.0)</f>
        <v>45425</v>
      </c>
      <c r="E651" s="13">
        <f>IFERROR(__xludf.DUMMYFUNCTION("""COMPUTED_VALUE"""),45819.0)</f>
        <v>45819</v>
      </c>
      <c r="F651" s="13">
        <f>IFERROR(__xludf.DUMMYFUNCTION("""COMPUTED_VALUE"""),45819.0)</f>
        <v>45819</v>
      </c>
      <c r="G651" s="16" t="s">
        <v>5150</v>
      </c>
      <c r="H651" s="16" t="s">
        <v>5150</v>
      </c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 t="str">
        <f>IFERROR(__xludf.DUMMYFUNCTION("""COMPUTED_VALUE"""),"Terns Pharmaceuticals Inc  Com")</f>
        <v>Terns Pharmaceuticals Inc  Com</v>
      </c>
      <c r="B652" s="12" t="str">
        <f>IFERROR(__xludf.DUMMYFUNCTION("""COMPUTED_VALUE"""),"TERN-US")</f>
        <v>TERN-US</v>
      </c>
      <c r="C652" s="12"/>
      <c r="D652" s="13">
        <f>IFERROR(__xludf.DUMMYFUNCTION("""COMPUTED_VALUE"""),45425.0)</f>
        <v>45425</v>
      </c>
      <c r="E652" s="13">
        <f>IFERROR(__xludf.DUMMYFUNCTION("""COMPUTED_VALUE"""),45819.0)</f>
        <v>45819</v>
      </c>
      <c r="F652" s="13">
        <f>IFERROR(__xludf.DUMMYFUNCTION("""COMPUTED_VALUE"""),45819.0)</f>
        <v>45819</v>
      </c>
      <c r="G652" s="16" t="s">
        <v>5150</v>
      </c>
      <c r="H652" s="16" t="s">
        <v>5150</v>
      </c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 t="str">
        <f>IFERROR(__xludf.DUMMYFUNCTION("""COMPUTED_VALUE"""),"X4 Pharmaceuticals Inc  Com")</f>
        <v>X4 Pharmaceuticals Inc  Com</v>
      </c>
      <c r="B653" s="12" t="str">
        <f>IFERROR(__xludf.DUMMYFUNCTION("""COMPUTED_VALUE"""),"XFOR-US")</f>
        <v>XFOR-US</v>
      </c>
      <c r="C653" s="12"/>
      <c r="D653" s="13">
        <f>IFERROR(__xludf.DUMMYFUNCTION("""COMPUTED_VALUE"""),45425.0)</f>
        <v>45425</v>
      </c>
      <c r="E653" s="13">
        <f>IFERROR(__xludf.DUMMYFUNCTION("""COMPUTED_VALUE"""),45817.0)</f>
        <v>45817</v>
      </c>
      <c r="F653" s="13">
        <f>IFERROR(__xludf.DUMMYFUNCTION("""COMPUTED_VALUE"""),45817.0)</f>
        <v>45817</v>
      </c>
      <c r="G653" s="16" t="s">
        <v>5150</v>
      </c>
      <c r="H653" s="16" t="s">
        <v>5150</v>
      </c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 t="str">
        <f>IFERROR(__xludf.DUMMYFUNCTION("""COMPUTED_VALUE"""),"Alphabet Inc  Cl A")</f>
        <v>Alphabet Inc  Cl A</v>
      </c>
      <c r="B654" s="12" t="str">
        <f>IFERROR(__xludf.DUMMYFUNCTION("""COMPUTED_VALUE"""),"GOOGL-US")</f>
        <v>GOOGL-US</v>
      </c>
      <c r="C654" s="12"/>
      <c r="D654" s="13">
        <f>IFERROR(__xludf.DUMMYFUNCTION("""COMPUTED_VALUE"""),45425.0)</f>
        <v>45425</v>
      </c>
      <c r="E654" s="13">
        <f>IFERROR(__xludf.DUMMYFUNCTION("""COMPUTED_VALUE"""),45814.0)</f>
        <v>45814</v>
      </c>
      <c r="F654" s="13">
        <f>IFERROR(__xludf.DUMMYFUNCTION("""COMPUTED_VALUE"""),45814.0)</f>
        <v>45814</v>
      </c>
      <c r="G654" s="16" t="s">
        <v>5150</v>
      </c>
      <c r="H654" s="16" t="s">
        <v>5150</v>
      </c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 t="str">
        <f>IFERROR(__xludf.DUMMYFUNCTION("""COMPUTED_VALUE"""),"Alphabet Inc  Cl C")</f>
        <v>Alphabet Inc  Cl C</v>
      </c>
      <c r="B655" s="12" t="str">
        <f>IFERROR(__xludf.DUMMYFUNCTION("""COMPUTED_VALUE"""),"GOOG-US")</f>
        <v>GOOG-US</v>
      </c>
      <c r="C655" s="12"/>
      <c r="D655" s="13">
        <f>IFERROR(__xludf.DUMMYFUNCTION("""COMPUTED_VALUE"""),45425.0)</f>
        <v>45425</v>
      </c>
      <c r="E655" s="13">
        <f>IFERROR(__xludf.DUMMYFUNCTION("""COMPUTED_VALUE"""),45814.0)</f>
        <v>45814</v>
      </c>
      <c r="F655" s="13">
        <f>IFERROR(__xludf.DUMMYFUNCTION("""COMPUTED_VALUE"""),45814.0)</f>
        <v>45814</v>
      </c>
      <c r="G655" s="16" t="s">
        <v>5151</v>
      </c>
      <c r="H655" s="16" t="s">
        <v>5151</v>
      </c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 t="str">
        <f>IFERROR(__xludf.DUMMYFUNCTION("""COMPUTED_VALUE"""),"Arista Networks Inc  Com")</f>
        <v>Arista Networks Inc  Com</v>
      </c>
      <c r="B656" s="12" t="str">
        <f>IFERROR(__xludf.DUMMYFUNCTION("""COMPUTED_VALUE"""),"ANET-US")</f>
        <v>ANET-US</v>
      </c>
      <c r="C656" s="12"/>
      <c r="D656" s="13">
        <f>IFERROR(__xludf.DUMMYFUNCTION("""COMPUTED_VALUE"""),45425.0)</f>
        <v>45425</v>
      </c>
      <c r="E656" s="13">
        <f>IFERROR(__xludf.DUMMYFUNCTION("""COMPUTED_VALUE"""),45807.0)</f>
        <v>45807</v>
      </c>
      <c r="F656" s="13">
        <f>IFERROR(__xludf.DUMMYFUNCTION("""COMPUTED_VALUE"""),45807.0)</f>
        <v>45807</v>
      </c>
      <c r="G656" s="16" t="s">
        <v>5150</v>
      </c>
      <c r="H656" s="16" t="s">
        <v>5150</v>
      </c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 t="str">
        <f>IFERROR(__xludf.DUMMYFUNCTION("""COMPUTED_VALUE"""),"Digital Realty Trust Inc  Com")</f>
        <v>Digital Realty Trust Inc  Com</v>
      </c>
      <c r="B657" s="12" t="str">
        <f>IFERROR(__xludf.DUMMYFUNCTION("""COMPUTED_VALUE"""),"DLR-US")</f>
        <v>DLR-US</v>
      </c>
      <c r="C657" s="12"/>
      <c r="D657" s="13">
        <f>IFERROR(__xludf.DUMMYFUNCTION("""COMPUTED_VALUE"""),45425.0)</f>
        <v>45425</v>
      </c>
      <c r="E657" s="13">
        <f>IFERROR(__xludf.DUMMYFUNCTION("""COMPUTED_VALUE"""),45814.0)</f>
        <v>45814</v>
      </c>
      <c r="F657" s="13">
        <f>IFERROR(__xludf.DUMMYFUNCTION("""COMPUTED_VALUE"""),45814.0)</f>
        <v>45814</v>
      </c>
      <c r="G657" s="16" t="s">
        <v>5150</v>
      </c>
      <c r="H657" s="16" t="s">
        <v>5150</v>
      </c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 t="str">
        <f>IFERROR(__xludf.DUMMYFUNCTION("""COMPUTED_VALUE"""),"Garmin Ltd  Com")</f>
        <v>Garmin Ltd  Com</v>
      </c>
      <c r="B658" s="12" t="str">
        <f>IFERROR(__xludf.DUMMYFUNCTION("""COMPUTED_VALUE"""),"GRMN-US")</f>
        <v>GRMN-US</v>
      </c>
      <c r="C658" s="12"/>
      <c r="D658" s="13">
        <f>IFERROR(__xludf.DUMMYFUNCTION("""COMPUTED_VALUE"""),45425.0)</f>
        <v>45425</v>
      </c>
      <c r="E658" s="13">
        <f>IFERROR(__xludf.DUMMYFUNCTION("""COMPUTED_VALUE"""),45814.0)</f>
        <v>45814</v>
      </c>
      <c r="F658" s="13">
        <f>IFERROR(__xludf.DUMMYFUNCTION("""COMPUTED_VALUE"""),45814.0)</f>
        <v>45814</v>
      </c>
      <c r="G658" s="16" t="s">
        <v>5150</v>
      </c>
      <c r="H658" s="16" t="s">
        <v>5150</v>
      </c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 t="str">
        <f>IFERROR(__xludf.DUMMYFUNCTION("""COMPUTED_VALUE"""),"Ansys Inc  Com")</f>
        <v>Ansys Inc  Com</v>
      </c>
      <c r="B659" s="12" t="str">
        <f>IFERROR(__xludf.DUMMYFUNCTION("""COMPUTED_VALUE"""),"ANSS-US")</f>
        <v>ANSS-US</v>
      </c>
      <c r="C659" s="12"/>
      <c r="D659" s="13">
        <f>IFERROR(__xludf.DUMMYFUNCTION("""COMPUTED_VALUE"""),45425.0)</f>
        <v>45425</v>
      </c>
      <c r="E659" s="13">
        <f>IFERROR(__xludf.DUMMYFUNCTION("""COMPUTED_VALUE"""),45835.0)</f>
        <v>45835</v>
      </c>
      <c r="F659" s="13">
        <f>IFERROR(__xludf.DUMMYFUNCTION("""COMPUTED_VALUE"""),45835.0)</f>
        <v>45835</v>
      </c>
      <c r="G659" s="16" t="s">
        <v>5150</v>
      </c>
      <c r="H659" s="16" t="s">
        <v>5150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 t="str">
        <f>IFERROR(__xludf.DUMMYFUNCTION("""COMPUTED_VALUE"""),"Omega Healthcare Investors Inc  Com")</f>
        <v>Omega Healthcare Investors Inc  Com</v>
      </c>
      <c r="B660" s="12" t="str">
        <f>IFERROR(__xludf.DUMMYFUNCTION("""COMPUTED_VALUE"""),"OHI-US")</f>
        <v>OHI-US</v>
      </c>
      <c r="C660" s="12"/>
      <c r="D660" s="13">
        <f>IFERROR(__xludf.DUMMYFUNCTION("""COMPUTED_VALUE"""),45425.0)</f>
        <v>45425</v>
      </c>
      <c r="E660" s="13">
        <f>IFERROR(__xludf.DUMMYFUNCTION("""COMPUTED_VALUE"""),45814.0)</f>
        <v>45814</v>
      </c>
      <c r="F660" s="13">
        <f>IFERROR(__xludf.DUMMYFUNCTION("""COMPUTED_VALUE"""),45814.0)</f>
        <v>45814</v>
      </c>
      <c r="G660" s="16" t="s">
        <v>5150</v>
      </c>
      <c r="H660" s="16" t="s">
        <v>5150</v>
      </c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 t="str">
        <f>IFERROR(__xludf.DUMMYFUNCTION("""COMPUTED_VALUE"""),"Shift4 Payments Inc  Cl A")</f>
        <v>Shift4 Payments Inc  Cl A</v>
      </c>
      <c r="B661" s="12" t="str">
        <f>IFERROR(__xludf.DUMMYFUNCTION("""COMPUTED_VALUE"""),"FOUR-US")</f>
        <v>FOUR-US</v>
      </c>
      <c r="C661" s="12"/>
      <c r="D661" s="13">
        <f>IFERROR(__xludf.DUMMYFUNCTION("""COMPUTED_VALUE"""),45425.0)</f>
        <v>45425</v>
      </c>
      <c r="E661" s="13">
        <f>IFERROR(__xludf.DUMMYFUNCTION("""COMPUTED_VALUE"""),45821.0)</f>
        <v>45821</v>
      </c>
      <c r="F661" s="13">
        <f>IFERROR(__xludf.DUMMYFUNCTION("""COMPUTED_VALUE"""),45821.0)</f>
        <v>45821</v>
      </c>
      <c r="G661" s="16" t="s">
        <v>5150</v>
      </c>
      <c r="H661" s="16" t="s">
        <v>5150</v>
      </c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 t="str">
        <f>IFERROR(__xludf.DUMMYFUNCTION("""COMPUTED_VALUE"""),"Willscot Holdings Corp  Cl A")</f>
        <v>Willscot Holdings Corp  Cl A</v>
      </c>
      <c r="B662" s="12" t="str">
        <f>IFERROR(__xludf.DUMMYFUNCTION("""COMPUTED_VALUE"""),"WSC-US")</f>
        <v>WSC-US</v>
      </c>
      <c r="C662" s="12"/>
      <c r="D662" s="13">
        <f>IFERROR(__xludf.DUMMYFUNCTION("""COMPUTED_VALUE"""),45425.0)</f>
        <v>45425</v>
      </c>
      <c r="E662" s="13">
        <f>IFERROR(__xludf.DUMMYFUNCTION("""COMPUTED_VALUE"""),45814.0)</f>
        <v>45814</v>
      </c>
      <c r="F662" s="13">
        <f>IFERROR(__xludf.DUMMYFUNCTION("""COMPUTED_VALUE"""),45814.0)</f>
        <v>45814</v>
      </c>
      <c r="G662" s="16" t="s">
        <v>5150</v>
      </c>
      <c r="H662" s="16" t="s">
        <v>5150</v>
      </c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 t="str">
        <f>IFERROR(__xludf.DUMMYFUNCTION("""COMPUTED_VALUE"""),"Crinetics Pharmaceuticals Inc  Com")</f>
        <v>Crinetics Pharmaceuticals Inc  Com</v>
      </c>
      <c r="B663" s="12" t="str">
        <f>IFERROR(__xludf.DUMMYFUNCTION("""COMPUTED_VALUE"""),"CRNX-US")</f>
        <v>CRNX-US</v>
      </c>
      <c r="C663" s="12"/>
      <c r="D663" s="13">
        <f>IFERROR(__xludf.DUMMYFUNCTION("""COMPUTED_VALUE"""),45426.0)</f>
        <v>45426</v>
      </c>
      <c r="E663" s="13">
        <f>IFERROR(__xludf.DUMMYFUNCTION("""COMPUTED_VALUE"""),45819.0)</f>
        <v>45819</v>
      </c>
      <c r="F663" s="13">
        <f>IFERROR(__xludf.DUMMYFUNCTION("""COMPUTED_VALUE"""),45819.0)</f>
        <v>45819</v>
      </c>
      <c r="G663" s="16" t="s">
        <v>5150</v>
      </c>
      <c r="H663" s="16" t="s">
        <v>5150</v>
      </c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 t="str">
        <f>IFERROR(__xludf.DUMMYFUNCTION("""COMPUTED_VALUE"""),"Axsome Therapeutics Inc  Com")</f>
        <v>Axsome Therapeutics Inc  Com</v>
      </c>
      <c r="B664" s="12" t="str">
        <f>IFERROR(__xludf.DUMMYFUNCTION("""COMPUTED_VALUE"""),"AXSM-US")</f>
        <v>AXSM-US</v>
      </c>
      <c r="C664" s="12"/>
      <c r="D664" s="13">
        <f>IFERROR(__xludf.DUMMYFUNCTION("""COMPUTED_VALUE"""),45426.0)</f>
        <v>45426</v>
      </c>
      <c r="E664" s="13">
        <f>IFERROR(__xludf.DUMMYFUNCTION("""COMPUTED_VALUE"""),45814.0)</f>
        <v>45814</v>
      </c>
      <c r="F664" s="13">
        <f>IFERROR(__xludf.DUMMYFUNCTION("""COMPUTED_VALUE"""),45814.0)</f>
        <v>45814</v>
      </c>
      <c r="G664" s="16" t="s">
        <v>5150</v>
      </c>
      <c r="H664" s="16" t="s">
        <v>5150</v>
      </c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 t="str">
        <f>IFERROR(__xludf.DUMMYFUNCTION("""COMPUTED_VALUE"""),"Warby Parker Inc  Cl A")</f>
        <v>Warby Parker Inc  Cl A</v>
      </c>
      <c r="B665" s="12" t="str">
        <f>IFERROR(__xludf.DUMMYFUNCTION("""COMPUTED_VALUE"""),"WRBY-US")</f>
        <v>WRBY-US</v>
      </c>
      <c r="C665" s="12"/>
      <c r="D665" s="13">
        <f>IFERROR(__xludf.DUMMYFUNCTION("""COMPUTED_VALUE"""),45426.0)</f>
        <v>45426</v>
      </c>
      <c r="E665" s="13">
        <f>IFERROR(__xludf.DUMMYFUNCTION("""COMPUTED_VALUE"""),45818.0)</f>
        <v>45818</v>
      </c>
      <c r="F665" s="13">
        <f>IFERROR(__xludf.DUMMYFUNCTION("""COMPUTED_VALUE"""),45818.0)</f>
        <v>45818</v>
      </c>
      <c r="G665" s="16" t="s">
        <v>5150</v>
      </c>
      <c r="H665" s="16" t="s">
        <v>5150</v>
      </c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 t="str">
        <f>IFERROR(__xludf.DUMMYFUNCTION("""COMPUTED_VALUE"""),"Openlane Inc  Com")</f>
        <v>Openlane Inc  Com</v>
      </c>
      <c r="B666" s="12" t="str">
        <f>IFERROR(__xludf.DUMMYFUNCTION("""COMPUTED_VALUE"""),"KAR-US")</f>
        <v>KAR-US</v>
      </c>
      <c r="C666" s="12"/>
      <c r="D666" s="13">
        <f>IFERROR(__xludf.DUMMYFUNCTION("""COMPUTED_VALUE"""),45426.0)</f>
        <v>45426</v>
      </c>
      <c r="E666" s="13">
        <f>IFERROR(__xludf.DUMMYFUNCTION("""COMPUTED_VALUE"""),45814.0)</f>
        <v>45814</v>
      </c>
      <c r="F666" s="13">
        <f>IFERROR(__xludf.DUMMYFUNCTION("""COMPUTED_VALUE"""),45814.0)</f>
        <v>45814</v>
      </c>
      <c r="G666" s="16" t="s">
        <v>5150</v>
      </c>
      <c r="H666" s="16" t="s">
        <v>5150</v>
      </c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 t="str">
        <f>IFERROR(__xludf.DUMMYFUNCTION("""COMPUTED_VALUE"""),"Akero Therapeutics Inc  Com")</f>
        <v>Akero Therapeutics Inc  Com</v>
      </c>
      <c r="B667" s="12" t="str">
        <f>IFERROR(__xludf.DUMMYFUNCTION("""COMPUTED_VALUE"""),"AKRO-US")</f>
        <v>AKRO-US</v>
      </c>
      <c r="C667" s="12"/>
      <c r="D667" s="13">
        <f>IFERROR(__xludf.DUMMYFUNCTION("""COMPUTED_VALUE"""),45426.0)</f>
        <v>45426</v>
      </c>
      <c r="E667" s="13">
        <f>IFERROR(__xludf.DUMMYFUNCTION("""COMPUTED_VALUE"""),45811.0)</f>
        <v>45811</v>
      </c>
      <c r="F667" s="13">
        <f>IFERROR(__xludf.DUMMYFUNCTION("""COMPUTED_VALUE"""),45811.0)</f>
        <v>45811</v>
      </c>
      <c r="G667" s="16" t="s">
        <v>5150</v>
      </c>
      <c r="H667" s="16" t="s">
        <v>5150</v>
      </c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 t="str">
        <f>IFERROR(__xludf.DUMMYFUNCTION("""COMPUTED_VALUE"""),"Icf International Inc  Com")</f>
        <v>Icf International Inc  Com</v>
      </c>
      <c r="B668" s="12" t="str">
        <f>IFERROR(__xludf.DUMMYFUNCTION("""COMPUTED_VALUE"""),"ICFI-US")</f>
        <v>ICFI-US</v>
      </c>
      <c r="C668" s="12"/>
      <c r="D668" s="13">
        <f>IFERROR(__xludf.DUMMYFUNCTION("""COMPUTED_VALUE"""),45426.0)</f>
        <v>45426</v>
      </c>
      <c r="E668" s="13">
        <f>IFERROR(__xludf.DUMMYFUNCTION("""COMPUTED_VALUE"""),45812.0)</f>
        <v>45812</v>
      </c>
      <c r="F668" s="13">
        <f>IFERROR(__xludf.DUMMYFUNCTION("""COMPUTED_VALUE"""),45812.0)</f>
        <v>45812</v>
      </c>
      <c r="G668" s="16" t="s">
        <v>5150</v>
      </c>
      <c r="H668" s="16" t="s">
        <v>5150</v>
      </c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 t="str">
        <f>IFERROR(__xludf.DUMMYFUNCTION("""COMPUTED_VALUE"""),"Edgewise Therapeutics Inc  Com")</f>
        <v>Edgewise Therapeutics Inc  Com</v>
      </c>
      <c r="B669" s="12" t="str">
        <f>IFERROR(__xludf.DUMMYFUNCTION("""COMPUTED_VALUE"""),"EWTX-US")</f>
        <v>EWTX-US</v>
      </c>
      <c r="C669" s="12"/>
      <c r="D669" s="13">
        <f>IFERROR(__xludf.DUMMYFUNCTION("""COMPUTED_VALUE"""),45426.0)</f>
        <v>45426</v>
      </c>
      <c r="E669" s="13">
        <f>IFERROR(__xludf.DUMMYFUNCTION("""COMPUTED_VALUE"""),45821.0)</f>
        <v>45821</v>
      </c>
      <c r="F669" s="13">
        <f>IFERROR(__xludf.DUMMYFUNCTION("""COMPUTED_VALUE"""),45821.0)</f>
        <v>45821</v>
      </c>
      <c r="G669" s="16" t="s">
        <v>5152</v>
      </c>
      <c r="H669" s="16" t="s">
        <v>5152</v>
      </c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 t="str">
        <f>IFERROR(__xludf.DUMMYFUNCTION("""COMPUTED_VALUE"""),"Upwork Inc  Com")</f>
        <v>Upwork Inc  Com</v>
      </c>
      <c r="B670" s="12" t="str">
        <f>IFERROR(__xludf.DUMMYFUNCTION("""COMPUTED_VALUE"""),"UPWK-US")</f>
        <v>UPWK-US</v>
      </c>
      <c r="C670" s="12"/>
      <c r="D670" s="13">
        <f>IFERROR(__xludf.DUMMYFUNCTION("""COMPUTED_VALUE"""),45426.0)</f>
        <v>45426</v>
      </c>
      <c r="E670" s="13">
        <f>IFERROR(__xludf.DUMMYFUNCTION("""COMPUTED_VALUE"""),45813.0)</f>
        <v>45813</v>
      </c>
      <c r="F670" s="13">
        <f>IFERROR(__xludf.DUMMYFUNCTION("""COMPUTED_VALUE"""),45813.0)</f>
        <v>45813</v>
      </c>
      <c r="G670" s="16" t="s">
        <v>5150</v>
      </c>
      <c r="H670" s="16" t="s">
        <v>5150</v>
      </c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 t="str">
        <f>IFERROR(__xludf.DUMMYFUNCTION("""COMPUTED_VALUE"""),"Hillman Solutions Corp  Cl A")</f>
        <v>Hillman Solutions Corp  Cl A</v>
      </c>
      <c r="B671" s="12" t="str">
        <f>IFERROR(__xludf.DUMMYFUNCTION("""COMPUTED_VALUE"""),"HLMN-US")</f>
        <v>HLMN-US</v>
      </c>
      <c r="C671" s="12"/>
      <c r="D671" s="13">
        <f>IFERROR(__xludf.DUMMYFUNCTION("""COMPUTED_VALUE"""),45426.0)</f>
        <v>45426</v>
      </c>
      <c r="E671" s="13">
        <f>IFERROR(__xludf.DUMMYFUNCTION("""COMPUTED_VALUE"""),45811.0)</f>
        <v>45811</v>
      </c>
      <c r="F671" s="13">
        <f>IFERROR(__xludf.DUMMYFUNCTION("""COMPUTED_VALUE"""),45811.0)</f>
        <v>45811</v>
      </c>
      <c r="G671" s="16" t="s">
        <v>5150</v>
      </c>
      <c r="H671" s="16" t="s">
        <v>5150</v>
      </c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 t="str">
        <f>IFERROR(__xludf.DUMMYFUNCTION("""COMPUTED_VALUE"""),"First Advantage Corp  Com")</f>
        <v>First Advantage Corp  Com</v>
      </c>
      <c r="B672" s="12" t="str">
        <f>IFERROR(__xludf.DUMMYFUNCTION("""COMPUTED_VALUE"""),"FA-US")</f>
        <v>FA-US</v>
      </c>
      <c r="C672" s="12"/>
      <c r="D672" s="13">
        <f>IFERROR(__xludf.DUMMYFUNCTION("""COMPUTED_VALUE"""),45426.0)</f>
        <v>45426</v>
      </c>
      <c r="E672" s="13">
        <f>IFERROR(__xludf.DUMMYFUNCTION("""COMPUTED_VALUE"""),45814.0)</f>
        <v>45814</v>
      </c>
      <c r="F672" s="13">
        <f>IFERROR(__xludf.DUMMYFUNCTION("""COMPUTED_VALUE"""),45814.0)</f>
        <v>45814</v>
      </c>
      <c r="G672" s="16" t="s">
        <v>5150</v>
      </c>
      <c r="H672" s="16" t="s">
        <v>5150</v>
      </c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 t="str">
        <f>IFERROR(__xludf.DUMMYFUNCTION("""COMPUTED_VALUE"""),"Encore Capital Group Inc  Com")</f>
        <v>Encore Capital Group Inc  Com</v>
      </c>
      <c r="B673" s="12" t="str">
        <f>IFERROR(__xludf.DUMMYFUNCTION("""COMPUTED_VALUE"""),"ECPG-US")</f>
        <v>ECPG-US</v>
      </c>
      <c r="C673" s="12"/>
      <c r="D673" s="13">
        <f>IFERROR(__xludf.DUMMYFUNCTION("""COMPUTED_VALUE"""),45426.0)</f>
        <v>45426</v>
      </c>
      <c r="E673" s="13">
        <f>IFERROR(__xludf.DUMMYFUNCTION("""COMPUTED_VALUE"""),45814.0)</f>
        <v>45814</v>
      </c>
      <c r="F673" s="13">
        <f>IFERROR(__xludf.DUMMYFUNCTION("""COMPUTED_VALUE"""),45814.0)</f>
        <v>45814</v>
      </c>
      <c r="G673" s="16" t="s">
        <v>5150</v>
      </c>
      <c r="H673" s="16" t="s">
        <v>5150</v>
      </c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 t="str">
        <f>IFERROR(__xludf.DUMMYFUNCTION("""COMPUTED_VALUE"""),"Revolve Group Inc  Cl A")</f>
        <v>Revolve Group Inc  Cl A</v>
      </c>
      <c r="B674" s="12" t="str">
        <f>IFERROR(__xludf.DUMMYFUNCTION("""COMPUTED_VALUE"""),"RVLV-US")</f>
        <v>RVLV-US</v>
      </c>
      <c r="C674" s="12"/>
      <c r="D674" s="13">
        <f>IFERROR(__xludf.DUMMYFUNCTION("""COMPUTED_VALUE"""),45426.0)</f>
        <v>45426</v>
      </c>
      <c r="E674" s="13">
        <f>IFERROR(__xludf.DUMMYFUNCTION("""COMPUTED_VALUE"""),45814.0)</f>
        <v>45814</v>
      </c>
      <c r="F674" s="13">
        <f>IFERROR(__xludf.DUMMYFUNCTION("""COMPUTED_VALUE"""),45814.0)</f>
        <v>45814</v>
      </c>
      <c r="G674" s="16" t="s">
        <v>5150</v>
      </c>
      <c r="H674" s="16" t="s">
        <v>5150</v>
      </c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 t="str">
        <f>IFERROR(__xludf.DUMMYFUNCTION("""COMPUTED_VALUE"""),"Digimarc Corp New  Com")</f>
        <v>Digimarc Corp New  Com</v>
      </c>
      <c r="B675" s="12" t="str">
        <f>IFERROR(__xludf.DUMMYFUNCTION("""COMPUTED_VALUE"""),"DMRC-US")</f>
        <v>DMRC-US</v>
      </c>
      <c r="C675" s="12"/>
      <c r="D675" s="13">
        <f>IFERROR(__xludf.DUMMYFUNCTION("""COMPUTED_VALUE"""),45426.0)</f>
        <v>45426</v>
      </c>
      <c r="E675" s="13">
        <f>IFERROR(__xludf.DUMMYFUNCTION("""COMPUTED_VALUE"""),45784.0)</f>
        <v>45784</v>
      </c>
      <c r="F675" s="13">
        <f>IFERROR(__xludf.DUMMYFUNCTION("""COMPUTED_VALUE"""),45784.0)</f>
        <v>45784</v>
      </c>
      <c r="G675" s="16" t="s">
        <v>5150</v>
      </c>
      <c r="H675" s="16" t="s">
        <v>5150</v>
      </c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 t="str">
        <f>IFERROR(__xludf.DUMMYFUNCTION("""COMPUTED_VALUE"""),"Amerisafe Inc  Com")</f>
        <v>Amerisafe Inc  Com</v>
      </c>
      <c r="B676" s="12" t="str">
        <f>IFERROR(__xludf.DUMMYFUNCTION("""COMPUTED_VALUE"""),"AMSF-US")</f>
        <v>AMSF-US</v>
      </c>
      <c r="C676" s="12"/>
      <c r="D676" s="13">
        <f>IFERROR(__xludf.DUMMYFUNCTION("""COMPUTED_VALUE"""),45426.0)</f>
        <v>45426</v>
      </c>
      <c r="E676" s="13">
        <f>IFERROR(__xludf.DUMMYFUNCTION("""COMPUTED_VALUE"""),45814.0)</f>
        <v>45814</v>
      </c>
      <c r="F676" s="13">
        <f>IFERROR(__xludf.DUMMYFUNCTION("""COMPUTED_VALUE"""),45814.0)</f>
        <v>45814</v>
      </c>
      <c r="G676" s="16" t="s">
        <v>5150</v>
      </c>
      <c r="H676" s="16" t="s">
        <v>5150</v>
      </c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 t="str">
        <f>IFERROR(__xludf.DUMMYFUNCTION("""COMPUTED_VALUE"""),"Alignment Healthcare Inc  Com")</f>
        <v>Alignment Healthcare Inc  Com</v>
      </c>
      <c r="B677" s="12" t="str">
        <f>IFERROR(__xludf.DUMMYFUNCTION("""COMPUTED_VALUE"""),"ALHC-US")</f>
        <v>ALHC-US</v>
      </c>
      <c r="C677" s="12"/>
      <c r="D677" s="13">
        <f>IFERROR(__xludf.DUMMYFUNCTION("""COMPUTED_VALUE"""),45426.0)</f>
        <v>45426</v>
      </c>
      <c r="E677" s="13">
        <f>IFERROR(__xludf.DUMMYFUNCTION("""COMPUTED_VALUE"""),45813.0)</f>
        <v>45813</v>
      </c>
      <c r="F677" s="13">
        <f>IFERROR(__xludf.DUMMYFUNCTION("""COMPUTED_VALUE"""),45813.0)</f>
        <v>45813</v>
      </c>
      <c r="G677" s="16" t="s">
        <v>5150</v>
      </c>
      <c r="H677" s="16" t="s">
        <v>5150</v>
      </c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 t="str">
        <f>IFERROR(__xludf.DUMMYFUNCTION("""COMPUTED_VALUE"""),"Adaptive Biotechnologies Corp  Com")</f>
        <v>Adaptive Biotechnologies Corp  Com</v>
      </c>
      <c r="B678" s="12" t="str">
        <f>IFERROR(__xludf.DUMMYFUNCTION("""COMPUTED_VALUE"""),"ADPT-US")</f>
        <v>ADPT-US</v>
      </c>
      <c r="C678" s="12"/>
      <c r="D678" s="13">
        <f>IFERROR(__xludf.DUMMYFUNCTION("""COMPUTED_VALUE"""),45426.0)</f>
        <v>45426</v>
      </c>
      <c r="E678" s="13">
        <f>IFERROR(__xludf.DUMMYFUNCTION("""COMPUTED_VALUE"""),45818.0)</f>
        <v>45818</v>
      </c>
      <c r="F678" s="13">
        <f>IFERROR(__xludf.DUMMYFUNCTION("""COMPUTED_VALUE"""),45818.0)</f>
        <v>45818</v>
      </c>
      <c r="G678" s="16" t="s">
        <v>5150</v>
      </c>
      <c r="H678" s="16" t="s">
        <v>5150</v>
      </c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 t="str">
        <f>IFERROR(__xludf.DUMMYFUNCTION("""COMPUTED_VALUE"""),"Onespan Inc  Com")</f>
        <v>Onespan Inc  Com</v>
      </c>
      <c r="B679" s="12" t="str">
        <f>IFERROR(__xludf.DUMMYFUNCTION("""COMPUTED_VALUE"""),"OSPN-US")</f>
        <v>OSPN-US</v>
      </c>
      <c r="C679" s="12"/>
      <c r="D679" s="13">
        <f>IFERROR(__xludf.DUMMYFUNCTION("""COMPUTED_VALUE"""),45426.0)</f>
        <v>45426</v>
      </c>
      <c r="E679" s="13">
        <f>IFERROR(__xludf.DUMMYFUNCTION("""COMPUTED_VALUE"""),45814.0)</f>
        <v>45814</v>
      </c>
      <c r="F679" s="13">
        <f>IFERROR(__xludf.DUMMYFUNCTION("""COMPUTED_VALUE"""),45814.0)</f>
        <v>45814</v>
      </c>
      <c r="G679" s="16" t="s">
        <v>5150</v>
      </c>
      <c r="H679" s="16" t="s">
        <v>5150</v>
      </c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 t="str">
        <f>IFERROR(__xludf.DUMMYFUNCTION("""COMPUTED_VALUE"""),"Navitas Semiconductor Corp  Com")</f>
        <v>Navitas Semiconductor Corp  Com</v>
      </c>
      <c r="B680" s="12" t="str">
        <f>IFERROR(__xludf.DUMMYFUNCTION("""COMPUTED_VALUE"""),"NVTS-US")</f>
        <v>NVTS-US</v>
      </c>
      <c r="C680" s="12"/>
      <c r="D680" s="13">
        <f>IFERROR(__xludf.DUMMYFUNCTION("""COMPUTED_VALUE"""),45426.0)</f>
        <v>45426</v>
      </c>
      <c r="E680" s="13">
        <f>IFERROR(__xludf.DUMMYFUNCTION("""COMPUTED_VALUE"""),45846.0)</f>
        <v>45846</v>
      </c>
      <c r="F680" s="13">
        <f>IFERROR(__xludf.DUMMYFUNCTION("""COMPUTED_VALUE"""),45846.0)</f>
        <v>45846</v>
      </c>
      <c r="G680" s="16" t="s">
        <v>5150</v>
      </c>
      <c r="H680" s="16" t="s">
        <v>5150</v>
      </c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 t="str">
        <f>IFERROR(__xludf.DUMMYFUNCTION("""COMPUTED_VALUE"""),"Alta Equipment Group Inc  Com")</f>
        <v>Alta Equipment Group Inc  Com</v>
      </c>
      <c r="B681" s="12" t="str">
        <f>IFERROR(__xludf.DUMMYFUNCTION("""COMPUTED_VALUE"""),"ALTG-US")</f>
        <v>ALTG-US</v>
      </c>
      <c r="C681" s="12"/>
      <c r="D681" s="13">
        <f>IFERROR(__xludf.DUMMYFUNCTION("""COMPUTED_VALUE"""),45426.0)</f>
        <v>45426</v>
      </c>
      <c r="E681" s="13">
        <f>IFERROR(__xludf.DUMMYFUNCTION("""COMPUTED_VALUE"""),45807.0)</f>
        <v>45807</v>
      </c>
      <c r="F681" s="13">
        <f>IFERROR(__xludf.DUMMYFUNCTION("""COMPUTED_VALUE"""),45807.0)</f>
        <v>45807</v>
      </c>
      <c r="G681" s="16" t="s">
        <v>5150</v>
      </c>
      <c r="H681" s="16" t="s">
        <v>5150</v>
      </c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 t="str">
        <f>IFERROR(__xludf.DUMMYFUNCTION("""COMPUTED_VALUE"""),"Fate Therapeutics Inc  Com")</f>
        <v>Fate Therapeutics Inc  Com</v>
      </c>
      <c r="B682" s="12" t="str">
        <f>IFERROR(__xludf.DUMMYFUNCTION("""COMPUTED_VALUE"""),"FATE-US")</f>
        <v>FATE-US</v>
      </c>
      <c r="C682" s="12"/>
      <c r="D682" s="13">
        <f>IFERROR(__xludf.DUMMYFUNCTION("""COMPUTED_VALUE"""),45426.0)</f>
        <v>45426</v>
      </c>
      <c r="E682" s="13">
        <f>IFERROR(__xludf.DUMMYFUNCTION("""COMPUTED_VALUE"""),45806.0)</f>
        <v>45806</v>
      </c>
      <c r="F682" s="13">
        <f>IFERROR(__xludf.DUMMYFUNCTION("""COMPUTED_VALUE"""),45806.0)</f>
        <v>45806</v>
      </c>
      <c r="G682" s="16" t="s">
        <v>5150</v>
      </c>
      <c r="H682" s="16" t="s">
        <v>5150</v>
      </c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 t="str">
        <f>IFERROR(__xludf.DUMMYFUNCTION("""COMPUTED_VALUE"""),"Netflix Inc  Com")</f>
        <v>Netflix Inc  Com</v>
      </c>
      <c r="B683" s="12" t="str">
        <f>IFERROR(__xludf.DUMMYFUNCTION("""COMPUTED_VALUE"""),"NFLX-US")</f>
        <v>NFLX-US</v>
      </c>
      <c r="C683" s="12"/>
      <c r="D683" s="13">
        <f>IFERROR(__xludf.DUMMYFUNCTION("""COMPUTED_VALUE"""),45426.0)</f>
        <v>45426</v>
      </c>
      <c r="E683" s="13">
        <f>IFERROR(__xludf.DUMMYFUNCTION("""COMPUTED_VALUE"""),45813.0)</f>
        <v>45813</v>
      </c>
      <c r="F683" s="13">
        <f>IFERROR(__xludf.DUMMYFUNCTION("""COMPUTED_VALUE"""),45813.0)</f>
        <v>45813</v>
      </c>
      <c r="G683" s="16" t="s">
        <v>5150</v>
      </c>
      <c r="H683" s="16" t="s">
        <v>5150</v>
      </c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 t="str">
        <f>IFERROR(__xludf.DUMMYFUNCTION("""COMPUTED_VALUE"""),"Trane Technologies Plc  Com")</f>
        <v>Trane Technologies Plc  Com</v>
      </c>
      <c r="B684" s="12" t="str">
        <f>IFERROR(__xludf.DUMMYFUNCTION("""COMPUTED_VALUE"""),"TT-US")</f>
        <v>TT-US</v>
      </c>
      <c r="C684" s="12"/>
      <c r="D684" s="13">
        <f>IFERROR(__xludf.DUMMYFUNCTION("""COMPUTED_VALUE"""),45426.0)</f>
        <v>45426</v>
      </c>
      <c r="E684" s="13">
        <f>IFERROR(__xludf.DUMMYFUNCTION("""COMPUTED_VALUE"""),45813.0)</f>
        <v>45813</v>
      </c>
      <c r="F684" s="13">
        <f>IFERROR(__xludf.DUMMYFUNCTION("""COMPUTED_VALUE"""),45813.0)</f>
        <v>45813</v>
      </c>
      <c r="G684" s="16" t="s">
        <v>5150</v>
      </c>
      <c r="H684" s="16" t="s">
        <v>5150</v>
      </c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 t="str">
        <f>IFERROR(__xludf.DUMMYFUNCTION("""COMPUTED_VALUE"""),"Chipotle Mexican Grill Inc  Cl A")</f>
        <v>Chipotle Mexican Grill Inc  Cl A</v>
      </c>
      <c r="B685" s="12" t="str">
        <f>IFERROR(__xludf.DUMMYFUNCTION("""COMPUTED_VALUE"""),"CMG-US")</f>
        <v>CMG-US</v>
      </c>
      <c r="C685" s="12"/>
      <c r="D685" s="13">
        <f>IFERROR(__xludf.DUMMYFUNCTION("""COMPUTED_VALUE"""),45426.0)</f>
        <v>45426</v>
      </c>
      <c r="E685" s="13">
        <f>IFERROR(__xludf.DUMMYFUNCTION("""COMPUTED_VALUE"""),45819.0)</f>
        <v>45819</v>
      </c>
      <c r="F685" s="13">
        <f>IFERROR(__xludf.DUMMYFUNCTION("""COMPUTED_VALUE"""),45819.0)</f>
        <v>45819</v>
      </c>
      <c r="G685" s="16" t="s">
        <v>5150</v>
      </c>
      <c r="H685" s="16" t="s">
        <v>5150</v>
      </c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 t="str">
        <f>IFERROR(__xludf.DUMMYFUNCTION("""COMPUTED_VALUE"""),"Lululemon Athletica Inc  Com")</f>
        <v>Lululemon Athletica Inc  Com</v>
      </c>
      <c r="B686" s="12" t="str">
        <f>IFERROR(__xludf.DUMMYFUNCTION("""COMPUTED_VALUE"""),"LULU-US")</f>
        <v>LULU-US</v>
      </c>
      <c r="C686" s="12"/>
      <c r="D686" s="13">
        <f>IFERROR(__xludf.DUMMYFUNCTION("""COMPUTED_VALUE"""),45426.0)</f>
        <v>45426</v>
      </c>
      <c r="E686" s="13">
        <f>IFERROR(__xludf.DUMMYFUNCTION("""COMPUTED_VALUE"""),45819.0)</f>
        <v>45819</v>
      </c>
      <c r="F686" s="13">
        <f>IFERROR(__xludf.DUMMYFUNCTION("""COMPUTED_VALUE"""),45819.0)</f>
        <v>45819</v>
      </c>
      <c r="G686" s="16" t="s">
        <v>5150</v>
      </c>
      <c r="H686" s="16" t="s">
        <v>5150</v>
      </c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 t="str">
        <f>IFERROR(__xludf.DUMMYFUNCTION("""COMPUTED_VALUE"""),"Gartner Inc  Cl A")</f>
        <v>Gartner Inc  Cl A</v>
      </c>
      <c r="B687" s="12" t="str">
        <f>IFERROR(__xludf.DUMMYFUNCTION("""COMPUTED_VALUE"""),"IT-US")</f>
        <v>IT-US</v>
      </c>
      <c r="C687" s="12"/>
      <c r="D687" s="13">
        <f>IFERROR(__xludf.DUMMYFUNCTION("""COMPUTED_VALUE"""),45426.0)</f>
        <v>45426</v>
      </c>
      <c r="E687" s="13">
        <f>IFERROR(__xludf.DUMMYFUNCTION("""COMPUTED_VALUE"""),45806.0)</f>
        <v>45806</v>
      </c>
      <c r="F687" s="13">
        <f>IFERROR(__xludf.DUMMYFUNCTION("""COMPUTED_VALUE"""),45806.0)</f>
        <v>45806</v>
      </c>
      <c r="G687" s="16" t="s">
        <v>5150</v>
      </c>
      <c r="H687" s="16" t="s">
        <v>5150</v>
      </c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 t="str">
        <f>IFERROR(__xludf.DUMMYFUNCTION("""COMPUTED_VALUE"""),"Diamondback Energy Inc  Com")</f>
        <v>Diamondback Energy Inc  Com</v>
      </c>
      <c r="B688" s="12" t="str">
        <f>IFERROR(__xludf.DUMMYFUNCTION("""COMPUTED_VALUE"""),"FANG-US")</f>
        <v>FANG-US</v>
      </c>
      <c r="C688" s="12"/>
      <c r="D688" s="13">
        <f>IFERROR(__xludf.DUMMYFUNCTION("""COMPUTED_VALUE"""),45426.0)</f>
        <v>45426</v>
      </c>
      <c r="E688" s="13">
        <f>IFERROR(__xludf.DUMMYFUNCTION("""COMPUTED_VALUE"""),45798.0)</f>
        <v>45798</v>
      </c>
      <c r="F688" s="13">
        <f>IFERROR(__xludf.DUMMYFUNCTION("""COMPUTED_VALUE"""),45798.0)</f>
        <v>45798</v>
      </c>
      <c r="G688" s="16" t="s">
        <v>5150</v>
      </c>
      <c r="H688" s="16" t="s">
        <v>5150</v>
      </c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 t="str">
        <f>IFERROR(__xludf.DUMMYFUNCTION("""COMPUTED_VALUE"""),"Costar Group Inc  Com")</f>
        <v>Costar Group Inc  Com</v>
      </c>
      <c r="B689" s="12" t="str">
        <f>IFERROR(__xludf.DUMMYFUNCTION("""COMPUTED_VALUE"""),"CSGP-US")</f>
        <v>CSGP-US</v>
      </c>
      <c r="C689" s="12"/>
      <c r="D689" s="13">
        <f>IFERROR(__xludf.DUMMYFUNCTION("""COMPUTED_VALUE"""),45426.0)</f>
        <v>45426</v>
      </c>
      <c r="E689" s="13">
        <f>IFERROR(__xludf.DUMMYFUNCTION("""COMPUTED_VALUE"""),45834.0)</f>
        <v>45834</v>
      </c>
      <c r="F689" s="13">
        <f>IFERROR(__xludf.DUMMYFUNCTION("""COMPUTED_VALUE"""),45834.0)</f>
        <v>45834</v>
      </c>
      <c r="G689" s="16" t="s">
        <v>5150</v>
      </c>
      <c r="H689" s="16" t="s">
        <v>5150</v>
      </c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 t="str">
        <f>IFERROR(__xludf.DUMMYFUNCTION("""COMPUTED_VALUE"""),"Godaddy Inc  Cl A")</f>
        <v>Godaddy Inc  Cl A</v>
      </c>
      <c r="B690" s="12" t="str">
        <f>IFERROR(__xludf.DUMMYFUNCTION("""COMPUTED_VALUE"""),"GDDY-US")</f>
        <v>GDDY-US</v>
      </c>
      <c r="C690" s="12"/>
      <c r="D690" s="13">
        <f>IFERROR(__xludf.DUMMYFUNCTION("""COMPUTED_VALUE"""),45426.0)</f>
        <v>45426</v>
      </c>
      <c r="E690" s="13">
        <f>IFERROR(__xludf.DUMMYFUNCTION("""COMPUTED_VALUE"""),45812.0)</f>
        <v>45812</v>
      </c>
      <c r="F690" s="13">
        <f>IFERROR(__xludf.DUMMYFUNCTION("""COMPUTED_VALUE"""),45812.0)</f>
        <v>45812</v>
      </c>
      <c r="G690" s="16" t="s">
        <v>5150</v>
      </c>
      <c r="H690" s="16" t="s">
        <v>5150</v>
      </c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 t="str">
        <f>IFERROR(__xludf.DUMMYFUNCTION("""COMPUTED_VALUE"""),"Corpay Inc  Com")</f>
        <v>Corpay Inc  Com</v>
      </c>
      <c r="B691" s="12" t="str">
        <f>IFERROR(__xludf.DUMMYFUNCTION("""COMPUTED_VALUE"""),"CPAY-US")</f>
        <v>CPAY-US</v>
      </c>
      <c r="C691" s="12"/>
      <c r="D691" s="13">
        <f>IFERROR(__xludf.DUMMYFUNCTION("""COMPUTED_VALUE"""),45426.0)</f>
        <v>45426</v>
      </c>
      <c r="E691" s="13">
        <f>IFERROR(__xludf.DUMMYFUNCTION("""COMPUTED_VALUE"""),45819.0)</f>
        <v>45819</v>
      </c>
      <c r="F691" s="13">
        <f>IFERROR(__xludf.DUMMYFUNCTION("""COMPUTED_VALUE"""),45819.0)</f>
        <v>45819</v>
      </c>
      <c r="G691" s="16" t="s">
        <v>5150</v>
      </c>
      <c r="H691" s="16" t="s">
        <v>5150</v>
      </c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 t="str">
        <f>IFERROR(__xludf.DUMMYFUNCTION("""COMPUTED_VALUE"""),"Expand Energy Corp  Com")</f>
        <v>Expand Energy Corp  Com</v>
      </c>
      <c r="B692" s="12" t="str">
        <f>IFERROR(__xludf.DUMMYFUNCTION("""COMPUTED_VALUE"""),"EXE-US")</f>
        <v>EXE-US</v>
      </c>
      <c r="C692" s="12"/>
      <c r="D692" s="13">
        <f>IFERROR(__xludf.DUMMYFUNCTION("""COMPUTED_VALUE"""),45426.0)</f>
        <v>45426</v>
      </c>
      <c r="E692" s="13">
        <f>IFERROR(__xludf.DUMMYFUNCTION("""COMPUTED_VALUE"""),45813.0)</f>
        <v>45813</v>
      </c>
      <c r="F692" s="13">
        <f>IFERROR(__xludf.DUMMYFUNCTION("""COMPUTED_VALUE"""),45813.0)</f>
        <v>45813</v>
      </c>
      <c r="G692" s="16" t="s">
        <v>5151</v>
      </c>
      <c r="H692" s="16" t="s">
        <v>5151</v>
      </c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 t="str">
        <f>IFERROR(__xludf.DUMMYFUNCTION("""COMPUTED_VALUE"""),"Emcor Group Inc  Com")</f>
        <v>Emcor Group Inc  Com</v>
      </c>
      <c r="B693" s="12" t="str">
        <f>IFERROR(__xludf.DUMMYFUNCTION("""COMPUTED_VALUE"""),"EME-US")</f>
        <v>EME-US</v>
      </c>
      <c r="C693" s="12"/>
      <c r="D693" s="13">
        <f>IFERROR(__xludf.DUMMYFUNCTION("""COMPUTED_VALUE"""),45426.0)</f>
        <v>45426</v>
      </c>
      <c r="E693" s="13">
        <f>IFERROR(__xludf.DUMMYFUNCTION("""COMPUTED_VALUE"""),45813.0)</f>
        <v>45813</v>
      </c>
      <c r="F693" s="13">
        <f>IFERROR(__xludf.DUMMYFUNCTION("""COMPUTED_VALUE"""),45813.0)</f>
        <v>45813</v>
      </c>
      <c r="G693" s="16" t="s">
        <v>5150</v>
      </c>
      <c r="H693" s="16" t="s">
        <v>5150</v>
      </c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 t="str">
        <f>IFERROR(__xludf.DUMMYFUNCTION("""COMPUTED_VALUE"""),"Toast Inc  Cl A")</f>
        <v>Toast Inc  Cl A</v>
      </c>
      <c r="B694" s="12" t="str">
        <f>IFERROR(__xludf.DUMMYFUNCTION("""COMPUTED_VALUE"""),"TOST-US")</f>
        <v>TOST-US</v>
      </c>
      <c r="C694" s="12"/>
      <c r="D694" s="13">
        <f>IFERROR(__xludf.DUMMYFUNCTION("""COMPUTED_VALUE"""),45426.0)</f>
        <v>45426</v>
      </c>
      <c r="E694" s="13">
        <f>IFERROR(__xludf.DUMMYFUNCTION("""COMPUTED_VALUE"""),45821.0)</f>
        <v>45821</v>
      </c>
      <c r="F694" s="13">
        <f>IFERROR(__xludf.DUMMYFUNCTION("""COMPUTED_VALUE"""),45821.0)</f>
        <v>45821</v>
      </c>
      <c r="G694" s="16" t="s">
        <v>5150</v>
      </c>
      <c r="H694" s="16" t="s">
        <v>5150</v>
      </c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 t="str">
        <f>IFERROR(__xludf.DUMMYFUNCTION("""COMPUTED_VALUE"""),"Twilio Inc  Cl A")</f>
        <v>Twilio Inc  Cl A</v>
      </c>
      <c r="B695" s="12" t="str">
        <f>IFERROR(__xludf.DUMMYFUNCTION("""COMPUTED_VALUE"""),"TWLO-US")</f>
        <v>TWLO-US</v>
      </c>
      <c r="C695" s="12"/>
      <c r="D695" s="13">
        <f>IFERROR(__xludf.DUMMYFUNCTION("""COMPUTED_VALUE"""),45426.0)</f>
        <v>45426</v>
      </c>
      <c r="E695" s="13">
        <f>IFERROR(__xludf.DUMMYFUNCTION("""COMPUTED_VALUE"""),45818.0)</f>
        <v>45818</v>
      </c>
      <c r="F695" s="13">
        <f>IFERROR(__xludf.DUMMYFUNCTION("""COMPUTED_VALUE"""),45818.0)</f>
        <v>45818</v>
      </c>
      <c r="G695" s="16" t="s">
        <v>5150</v>
      </c>
      <c r="H695" s="16" t="s">
        <v>5150</v>
      </c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 t="str">
        <f>IFERROR(__xludf.DUMMYFUNCTION("""COMPUTED_VALUE"""),"Sarepta Therapeutics Inc  Com")</f>
        <v>Sarepta Therapeutics Inc  Com</v>
      </c>
      <c r="B696" s="12" t="str">
        <f>IFERROR(__xludf.DUMMYFUNCTION("""COMPUTED_VALUE"""),"SRPT-US")</f>
        <v>SRPT-US</v>
      </c>
      <c r="C696" s="12"/>
      <c r="D696" s="13">
        <f>IFERROR(__xludf.DUMMYFUNCTION("""COMPUTED_VALUE"""),45426.0)</f>
        <v>45426</v>
      </c>
      <c r="E696" s="13">
        <f>IFERROR(__xludf.DUMMYFUNCTION("""COMPUTED_VALUE"""),45813.0)</f>
        <v>45813</v>
      </c>
      <c r="F696" s="13">
        <f>IFERROR(__xludf.DUMMYFUNCTION("""COMPUTED_VALUE"""),45813.0)</f>
        <v>45813</v>
      </c>
      <c r="G696" s="16" t="s">
        <v>5150</v>
      </c>
      <c r="H696" s="16" t="s">
        <v>5150</v>
      </c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 t="str">
        <f>IFERROR(__xludf.DUMMYFUNCTION("""COMPUTED_VALUE"""),"Vaxcyte Inc  Com")</f>
        <v>Vaxcyte Inc  Com</v>
      </c>
      <c r="B697" s="12" t="str">
        <f>IFERROR(__xludf.DUMMYFUNCTION("""COMPUTED_VALUE"""),"PCVX-US")</f>
        <v>PCVX-US</v>
      </c>
      <c r="C697" s="12"/>
      <c r="D697" s="13">
        <f>IFERROR(__xludf.DUMMYFUNCTION("""COMPUTED_VALUE"""),45426.0)</f>
        <v>45426</v>
      </c>
      <c r="E697" s="13">
        <f>IFERROR(__xludf.DUMMYFUNCTION("""COMPUTED_VALUE"""),45820.0)</f>
        <v>45820</v>
      </c>
      <c r="F697" s="13">
        <f>IFERROR(__xludf.DUMMYFUNCTION("""COMPUTED_VALUE"""),45820.0)</f>
        <v>45820</v>
      </c>
      <c r="G697" s="16" t="s">
        <v>5150</v>
      </c>
      <c r="H697" s="16" t="s">
        <v>5150</v>
      </c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 t="str">
        <f>IFERROR(__xludf.DUMMYFUNCTION("""COMPUTED_VALUE"""),"Royalty Pharma Plc  Cl A")</f>
        <v>Royalty Pharma Plc  Cl A</v>
      </c>
      <c r="B698" s="12" t="str">
        <f>IFERROR(__xludf.DUMMYFUNCTION("""COMPUTED_VALUE"""),"RPRX-US")</f>
        <v>RPRX-US</v>
      </c>
      <c r="C698" s="12"/>
      <c r="D698" s="13">
        <f>IFERROR(__xludf.DUMMYFUNCTION("""COMPUTED_VALUE"""),45426.0)</f>
        <v>45426</v>
      </c>
      <c r="E698" s="13">
        <f>IFERROR(__xludf.DUMMYFUNCTION("""COMPUTED_VALUE"""),45789.0)</f>
        <v>45789</v>
      </c>
      <c r="F698" s="13">
        <f>IFERROR(__xludf.DUMMYFUNCTION("""COMPUTED_VALUE"""),45789.0)</f>
        <v>45789</v>
      </c>
      <c r="G698" s="16" t="s">
        <v>5150</v>
      </c>
      <c r="H698" s="16" t="s">
        <v>5150</v>
      </c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 t="str">
        <f>IFERROR(__xludf.DUMMYFUNCTION("""COMPUTED_VALUE"""),"Roku Inc  Cl A")</f>
        <v>Roku Inc  Cl A</v>
      </c>
      <c r="B699" s="12" t="str">
        <f>IFERROR(__xludf.DUMMYFUNCTION("""COMPUTED_VALUE"""),"ROKU-US")</f>
        <v>ROKU-US</v>
      </c>
      <c r="C699" s="12"/>
      <c r="D699" s="13">
        <f>IFERROR(__xludf.DUMMYFUNCTION("""COMPUTED_VALUE"""),45426.0)</f>
        <v>45426</v>
      </c>
      <c r="E699" s="13">
        <f>IFERROR(__xludf.DUMMYFUNCTION("""COMPUTED_VALUE"""),45819.0)</f>
        <v>45819</v>
      </c>
      <c r="F699" s="13">
        <f>IFERROR(__xludf.DUMMYFUNCTION("""COMPUTED_VALUE"""),45819.0)</f>
        <v>45819</v>
      </c>
      <c r="G699" s="16" t="s">
        <v>5150</v>
      </c>
      <c r="H699" s="16" t="s">
        <v>5150</v>
      </c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 t="str">
        <f>IFERROR(__xludf.DUMMYFUNCTION("""COMPUTED_VALUE"""),"Mosaic Co  Com")</f>
        <v>Mosaic Co  Com</v>
      </c>
      <c r="B700" s="12" t="str">
        <f>IFERROR(__xludf.DUMMYFUNCTION("""COMPUTED_VALUE"""),"MOS-US")</f>
        <v>MOS-US</v>
      </c>
      <c r="C700" s="12"/>
      <c r="D700" s="13">
        <f>IFERROR(__xludf.DUMMYFUNCTION("""COMPUTED_VALUE"""),45426.0)</f>
        <v>45426</v>
      </c>
      <c r="E700" s="13">
        <f>IFERROR(__xludf.DUMMYFUNCTION("""COMPUTED_VALUE"""),45806.0)</f>
        <v>45806</v>
      </c>
      <c r="F700" s="13">
        <f>IFERROR(__xludf.DUMMYFUNCTION("""COMPUTED_VALUE"""),45806.0)</f>
        <v>45806</v>
      </c>
      <c r="G700" s="16" t="s">
        <v>5150</v>
      </c>
      <c r="H700" s="16" t="s">
        <v>5150</v>
      </c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 t="str">
        <f>IFERROR(__xludf.DUMMYFUNCTION("""COMPUTED_VALUE"""),"Procore Technologies Inc  Com")</f>
        <v>Procore Technologies Inc  Com</v>
      </c>
      <c r="B701" s="12" t="str">
        <f>IFERROR(__xludf.DUMMYFUNCTION("""COMPUTED_VALUE"""),"PCOR-US")</f>
        <v>PCOR-US</v>
      </c>
      <c r="C701" s="12"/>
      <c r="D701" s="13">
        <f>IFERROR(__xludf.DUMMYFUNCTION("""COMPUTED_VALUE"""),45426.0)</f>
        <v>45426</v>
      </c>
      <c r="E701" s="13">
        <f>IFERROR(__xludf.DUMMYFUNCTION("""COMPUTED_VALUE"""),45813.0)</f>
        <v>45813</v>
      </c>
      <c r="F701" s="13">
        <f>IFERROR(__xludf.DUMMYFUNCTION("""COMPUTED_VALUE"""),45813.0)</f>
        <v>45813</v>
      </c>
      <c r="G701" s="16" t="s">
        <v>5150</v>
      </c>
      <c r="H701" s="16" t="s">
        <v>5150</v>
      </c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 t="str">
        <f>IFERROR(__xludf.DUMMYFUNCTION("""COMPUTED_VALUE"""),"Axalta Coating Systems Ltd  Com")</f>
        <v>Axalta Coating Systems Ltd  Com</v>
      </c>
      <c r="B702" s="12" t="str">
        <f>IFERROR(__xludf.DUMMYFUNCTION("""COMPUTED_VALUE"""),"AXTA-US")</f>
        <v>AXTA-US</v>
      </c>
      <c r="C702" s="12"/>
      <c r="D702" s="13">
        <f>IFERROR(__xludf.DUMMYFUNCTION("""COMPUTED_VALUE"""),45426.0)</f>
        <v>45426</v>
      </c>
      <c r="E702" s="13">
        <f>IFERROR(__xludf.DUMMYFUNCTION("""COMPUTED_VALUE"""),45812.0)</f>
        <v>45812</v>
      </c>
      <c r="F702" s="13">
        <f>IFERROR(__xludf.DUMMYFUNCTION("""COMPUTED_VALUE"""),45812.0)</f>
        <v>45812</v>
      </c>
      <c r="G702" s="16" t="s">
        <v>5150</v>
      </c>
      <c r="H702" s="16" t="s">
        <v>5150</v>
      </c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 t="str">
        <f>IFERROR(__xludf.DUMMYFUNCTION("""COMPUTED_VALUE"""),"Davita (Healthcare) Inc  Com")</f>
        <v>Davita (Healthcare) Inc  Com</v>
      </c>
      <c r="B703" s="12" t="str">
        <f>IFERROR(__xludf.DUMMYFUNCTION("""COMPUTED_VALUE"""),"DVA-US")</f>
        <v>DVA-US</v>
      </c>
      <c r="C703" s="12"/>
      <c r="D703" s="13">
        <f>IFERROR(__xludf.DUMMYFUNCTION("""COMPUTED_VALUE"""),45426.0)</f>
        <v>45426</v>
      </c>
      <c r="E703" s="13">
        <f>IFERROR(__xludf.DUMMYFUNCTION("""COMPUTED_VALUE"""),45820.0)</f>
        <v>45820</v>
      </c>
      <c r="F703" s="13">
        <f>IFERROR(__xludf.DUMMYFUNCTION("""COMPUTED_VALUE"""),45820.0)</f>
        <v>45820</v>
      </c>
      <c r="G703" s="16" t="s">
        <v>5152</v>
      </c>
      <c r="H703" s="16" t="s">
        <v>5152</v>
      </c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 t="str">
        <f>IFERROR(__xludf.DUMMYFUNCTION("""COMPUTED_VALUE"""),"Casella Waste Systems Inc  Cl A")</f>
        <v>Casella Waste Systems Inc  Cl A</v>
      </c>
      <c r="B704" s="12" t="str">
        <f>IFERROR(__xludf.DUMMYFUNCTION("""COMPUTED_VALUE"""),"CWST-US")</f>
        <v>CWST-US</v>
      </c>
      <c r="C704" s="12"/>
      <c r="D704" s="13">
        <f>IFERROR(__xludf.DUMMYFUNCTION("""COMPUTED_VALUE"""),45426.0)</f>
        <v>45426</v>
      </c>
      <c r="E704" s="13">
        <f>IFERROR(__xludf.DUMMYFUNCTION("""COMPUTED_VALUE"""),45813.0)</f>
        <v>45813</v>
      </c>
      <c r="F704" s="13">
        <f>IFERROR(__xludf.DUMMYFUNCTION("""COMPUTED_VALUE"""),45813.0)</f>
        <v>45813</v>
      </c>
      <c r="G704" s="16" t="s">
        <v>5150</v>
      </c>
      <c r="H704" s="16" t="s">
        <v>5150</v>
      </c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 t="str">
        <f>IFERROR(__xludf.DUMMYFUNCTION("""COMPUTED_VALUE"""),"Ionis Pharmaceuticals Inc  Com")</f>
        <v>Ionis Pharmaceuticals Inc  Com</v>
      </c>
      <c r="B705" s="12" t="str">
        <f>IFERROR(__xludf.DUMMYFUNCTION("""COMPUTED_VALUE"""),"IONS-US")</f>
        <v>IONS-US</v>
      </c>
      <c r="C705" s="12"/>
      <c r="D705" s="13">
        <f>IFERROR(__xludf.DUMMYFUNCTION("""COMPUTED_VALUE"""),45426.0)</f>
        <v>45426</v>
      </c>
      <c r="E705" s="13">
        <f>IFERROR(__xludf.DUMMYFUNCTION("""COMPUTED_VALUE"""),45813.0)</f>
        <v>45813</v>
      </c>
      <c r="F705" s="13">
        <f>IFERROR(__xludf.DUMMYFUNCTION("""COMPUTED_VALUE"""),45813.0)</f>
        <v>45813</v>
      </c>
      <c r="G705" s="16" t="s">
        <v>5150</v>
      </c>
      <c r="H705" s="16" t="s">
        <v>5150</v>
      </c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 t="str">
        <f>IFERROR(__xludf.DUMMYFUNCTION("""COMPUTED_VALUE"""),"Hims &amp; Hers Health Inc  Cl A")</f>
        <v>Hims &amp; Hers Health Inc  Cl A</v>
      </c>
      <c r="B706" s="12" t="str">
        <f>IFERROR(__xludf.DUMMYFUNCTION("""COMPUTED_VALUE"""),"HIMS-US")</f>
        <v>HIMS-US</v>
      </c>
      <c r="C706" s="12"/>
      <c r="D706" s="13">
        <f>IFERROR(__xludf.DUMMYFUNCTION("""COMPUTED_VALUE"""),45426.0)</f>
        <v>45426</v>
      </c>
      <c r="E706" s="13">
        <f>IFERROR(__xludf.DUMMYFUNCTION("""COMPUTED_VALUE"""),45820.0)</f>
        <v>45820</v>
      </c>
      <c r="F706" s="13">
        <f>IFERROR(__xludf.DUMMYFUNCTION("""COMPUTED_VALUE"""),45820.0)</f>
        <v>45820</v>
      </c>
      <c r="G706" s="16" t="s">
        <v>5150</v>
      </c>
      <c r="H706" s="16" t="s">
        <v>5150</v>
      </c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 t="str">
        <f>IFERROR(__xludf.DUMMYFUNCTION("""COMPUTED_VALUE"""),"Moelis &amp; Co  Cl A")</f>
        <v>Moelis &amp; Co  Cl A</v>
      </c>
      <c r="B707" s="12" t="str">
        <f>IFERROR(__xludf.DUMMYFUNCTION("""COMPUTED_VALUE"""),"MC-US")</f>
        <v>MC-US</v>
      </c>
      <c r="C707" s="12"/>
      <c r="D707" s="13">
        <f>IFERROR(__xludf.DUMMYFUNCTION("""COMPUTED_VALUE"""),45426.0)</f>
        <v>45426</v>
      </c>
      <c r="E707" s="13">
        <f>IFERROR(__xludf.DUMMYFUNCTION("""COMPUTED_VALUE"""),45813.0)</f>
        <v>45813</v>
      </c>
      <c r="F707" s="13">
        <f>IFERROR(__xludf.DUMMYFUNCTION("""COMPUTED_VALUE"""),45813.0)</f>
        <v>45813</v>
      </c>
      <c r="G707" s="16" t="s">
        <v>5150</v>
      </c>
      <c r="H707" s="16" t="s">
        <v>5150</v>
      </c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 t="str">
        <f>IFERROR(__xludf.DUMMYFUNCTION("""COMPUTED_VALUE"""),"Exponent Inc  Com")</f>
        <v>Exponent Inc  Com</v>
      </c>
      <c r="B708" s="12" t="str">
        <f>IFERROR(__xludf.DUMMYFUNCTION("""COMPUTED_VALUE"""),"EXPO-US")</f>
        <v>EXPO-US</v>
      </c>
      <c r="C708" s="12"/>
      <c r="D708" s="13">
        <f>IFERROR(__xludf.DUMMYFUNCTION("""COMPUTED_VALUE"""),45426.0)</f>
        <v>45426</v>
      </c>
      <c r="E708" s="13">
        <f>IFERROR(__xludf.DUMMYFUNCTION("""COMPUTED_VALUE"""),45813.0)</f>
        <v>45813</v>
      </c>
      <c r="F708" s="13">
        <f>IFERROR(__xludf.DUMMYFUNCTION("""COMPUTED_VALUE"""),45813.0)</f>
        <v>45813</v>
      </c>
      <c r="G708" s="16" t="s">
        <v>5150</v>
      </c>
      <c r="H708" s="16" t="s">
        <v>5150</v>
      </c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 t="str">
        <f>IFERROR(__xludf.DUMMYFUNCTION("""COMPUTED_VALUE"""),"Academy Sports &amp; Outdoors Inc  Com")</f>
        <v>Academy Sports &amp; Outdoors Inc  Com</v>
      </c>
      <c r="B709" s="12" t="str">
        <f>IFERROR(__xludf.DUMMYFUNCTION("""COMPUTED_VALUE"""),"ASO-US")</f>
        <v>ASO-US</v>
      </c>
      <c r="C709" s="12"/>
      <c r="D709" s="13">
        <f>IFERROR(__xludf.DUMMYFUNCTION("""COMPUTED_VALUE"""),45426.0)</f>
        <v>45426</v>
      </c>
      <c r="E709" s="13">
        <f>IFERROR(__xludf.DUMMYFUNCTION("""COMPUTED_VALUE"""),45813.0)</f>
        <v>45813</v>
      </c>
      <c r="F709" s="13">
        <f>IFERROR(__xludf.DUMMYFUNCTION("""COMPUTED_VALUE"""),45813.0)</f>
        <v>45813</v>
      </c>
      <c r="G709" s="16" t="s">
        <v>5150</v>
      </c>
      <c r="H709" s="16" t="s">
        <v>5150</v>
      </c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 t="str">
        <f>IFERROR(__xludf.DUMMYFUNCTION("""COMPUTED_VALUE"""),"Guardant Health Inc  Com")</f>
        <v>Guardant Health Inc  Com</v>
      </c>
      <c r="B710" s="12" t="str">
        <f>IFERROR(__xludf.DUMMYFUNCTION("""COMPUTED_VALUE"""),"GH-US")</f>
        <v>GH-US</v>
      </c>
      <c r="C710" s="12"/>
      <c r="D710" s="13">
        <f>IFERROR(__xludf.DUMMYFUNCTION("""COMPUTED_VALUE"""),45426.0)</f>
        <v>45426</v>
      </c>
      <c r="E710" s="13">
        <f>IFERROR(__xludf.DUMMYFUNCTION("""COMPUTED_VALUE"""),45826.0)</f>
        <v>45826</v>
      </c>
      <c r="F710" s="13">
        <f>IFERROR(__xludf.DUMMYFUNCTION("""COMPUTED_VALUE"""),45826.0)</f>
        <v>45826</v>
      </c>
      <c r="G710" s="16" t="s">
        <v>5150</v>
      </c>
      <c r="H710" s="16" t="s">
        <v>5150</v>
      </c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 t="str">
        <f>IFERROR(__xludf.DUMMYFUNCTION("""COMPUTED_VALUE"""),"Ameris Bancorp  Com")</f>
        <v>Ameris Bancorp  Com</v>
      </c>
      <c r="B711" s="12" t="str">
        <f>IFERROR(__xludf.DUMMYFUNCTION("""COMPUTED_VALUE"""),"ABCB-US")</f>
        <v>ABCB-US</v>
      </c>
      <c r="C711" s="12"/>
      <c r="D711" s="13">
        <f>IFERROR(__xludf.DUMMYFUNCTION("""COMPUTED_VALUE"""),45426.0)</f>
        <v>45426</v>
      </c>
      <c r="E711" s="13">
        <f>IFERROR(__xludf.DUMMYFUNCTION("""COMPUTED_VALUE"""),45813.0)</f>
        <v>45813</v>
      </c>
      <c r="F711" s="13">
        <f>IFERROR(__xludf.DUMMYFUNCTION("""COMPUTED_VALUE"""),45813.0)</f>
        <v>45813</v>
      </c>
      <c r="G711" s="16" t="s">
        <v>5150</v>
      </c>
      <c r="H711" s="16" t="s">
        <v>5150</v>
      </c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 t="str">
        <f>IFERROR(__xludf.DUMMYFUNCTION("""COMPUTED_VALUE"""),"Impinj Inc  Com")</f>
        <v>Impinj Inc  Com</v>
      </c>
      <c r="B712" s="12" t="str">
        <f>IFERROR(__xludf.DUMMYFUNCTION("""COMPUTED_VALUE"""),"PI-US")</f>
        <v>PI-US</v>
      </c>
      <c r="C712" s="12"/>
      <c r="D712" s="13">
        <f>IFERROR(__xludf.DUMMYFUNCTION("""COMPUTED_VALUE"""),45426.0)</f>
        <v>45426</v>
      </c>
      <c r="E712" s="13">
        <f>IFERROR(__xludf.DUMMYFUNCTION("""COMPUTED_VALUE"""),45813.0)</f>
        <v>45813</v>
      </c>
      <c r="F712" s="13">
        <f>IFERROR(__xludf.DUMMYFUNCTION("""COMPUTED_VALUE"""),45813.0)</f>
        <v>45813</v>
      </c>
      <c r="G712" s="16" t="s">
        <v>5150</v>
      </c>
      <c r="H712" s="16" t="s">
        <v>5150</v>
      </c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 t="str">
        <f>IFERROR(__xludf.DUMMYFUNCTION("""COMPUTED_VALUE"""),"Patterson Uti Energy Inc  Com")</f>
        <v>Patterson Uti Energy Inc  Com</v>
      </c>
      <c r="B713" s="12" t="str">
        <f>IFERROR(__xludf.DUMMYFUNCTION("""COMPUTED_VALUE"""),"PTEN-US")</f>
        <v>PTEN-US</v>
      </c>
      <c r="C713" s="12"/>
      <c r="D713" s="13">
        <f>IFERROR(__xludf.DUMMYFUNCTION("""COMPUTED_VALUE"""),45426.0)</f>
        <v>45426</v>
      </c>
      <c r="E713" s="13">
        <f>IFERROR(__xludf.DUMMYFUNCTION("""COMPUTED_VALUE"""),45813.0)</f>
        <v>45813</v>
      </c>
      <c r="F713" s="13">
        <f>IFERROR(__xludf.DUMMYFUNCTION("""COMPUTED_VALUE"""),45813.0)</f>
        <v>45813</v>
      </c>
      <c r="G713" s="16" t="s">
        <v>5150</v>
      </c>
      <c r="H713" s="16" t="s">
        <v>5150</v>
      </c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 t="str">
        <f>IFERROR(__xludf.DUMMYFUNCTION("""COMPUTED_VALUE"""),"Freshworks Inc  Cl A")</f>
        <v>Freshworks Inc  Cl A</v>
      </c>
      <c r="B714" s="12" t="str">
        <f>IFERROR(__xludf.DUMMYFUNCTION("""COMPUTED_VALUE"""),"FRSH-US")</f>
        <v>FRSH-US</v>
      </c>
      <c r="C714" s="12"/>
      <c r="D714" s="13">
        <f>IFERROR(__xludf.DUMMYFUNCTION("""COMPUTED_VALUE"""),45426.0)</f>
        <v>45426</v>
      </c>
      <c r="E714" s="13">
        <f>IFERROR(__xludf.DUMMYFUNCTION("""COMPUTED_VALUE"""),45813.0)</f>
        <v>45813</v>
      </c>
      <c r="F714" s="13">
        <f>IFERROR(__xludf.DUMMYFUNCTION("""COMPUTED_VALUE"""),45813.0)</f>
        <v>45813</v>
      </c>
      <c r="G714" s="16" t="s">
        <v>5150</v>
      </c>
      <c r="H714" s="16" t="s">
        <v>5150</v>
      </c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 t="str">
        <f>IFERROR(__xludf.DUMMYFUNCTION("""COMPUTED_VALUE"""),"Ha Sustainable Infrastructure  Com")</f>
        <v>Ha Sustainable Infrastructure  Com</v>
      </c>
      <c r="B715" s="12" t="str">
        <f>IFERROR(__xludf.DUMMYFUNCTION("""COMPUTED_VALUE"""),"HASI-US")</f>
        <v>HASI-US</v>
      </c>
      <c r="C715" s="12"/>
      <c r="D715" s="13">
        <f>IFERROR(__xludf.DUMMYFUNCTION("""COMPUTED_VALUE"""),45426.0)</f>
        <v>45426</v>
      </c>
      <c r="E715" s="13">
        <f>IFERROR(__xludf.DUMMYFUNCTION("""COMPUTED_VALUE"""),45812.0)</f>
        <v>45812</v>
      </c>
      <c r="F715" s="13">
        <f>IFERROR(__xludf.DUMMYFUNCTION("""COMPUTED_VALUE"""),45812.0)</f>
        <v>45812</v>
      </c>
      <c r="G715" s="16" t="s">
        <v>5150</v>
      </c>
      <c r="H715" s="16" t="s">
        <v>5150</v>
      </c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 t="str">
        <f>IFERROR(__xludf.DUMMYFUNCTION("""COMPUTED_VALUE"""),"Brighthouse Financial Inc  Com")</f>
        <v>Brighthouse Financial Inc  Com</v>
      </c>
      <c r="B716" s="12" t="str">
        <f>IFERROR(__xludf.DUMMYFUNCTION("""COMPUTED_VALUE"""),"BHF-US")</f>
        <v>BHF-US</v>
      </c>
      <c r="C716" s="12"/>
      <c r="D716" s="13">
        <f>IFERROR(__xludf.DUMMYFUNCTION("""COMPUTED_VALUE"""),45426.0)</f>
        <v>45426</v>
      </c>
      <c r="E716" s="13">
        <f>IFERROR(__xludf.DUMMYFUNCTION("""COMPUTED_VALUE"""),45820.0)</f>
        <v>45820</v>
      </c>
      <c r="F716" s="13">
        <f>IFERROR(__xludf.DUMMYFUNCTION("""COMPUTED_VALUE"""),45820.0)</f>
        <v>45820</v>
      </c>
      <c r="G716" s="16" t="s">
        <v>5150</v>
      </c>
      <c r="H716" s="16" t="s">
        <v>5150</v>
      </c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 t="str">
        <f>IFERROR(__xludf.DUMMYFUNCTION("""COMPUTED_VALUE"""),"Virtu Financial Inc  Cl A")</f>
        <v>Virtu Financial Inc  Cl A</v>
      </c>
      <c r="B717" s="12" t="str">
        <f>IFERROR(__xludf.DUMMYFUNCTION("""COMPUTED_VALUE"""),"VIRT-US")</f>
        <v>VIRT-US</v>
      </c>
      <c r="C717" s="12"/>
      <c r="D717" s="13">
        <f>IFERROR(__xludf.DUMMYFUNCTION("""COMPUTED_VALUE"""),45426.0)</f>
        <v>45426</v>
      </c>
      <c r="E717" s="13">
        <f>IFERROR(__xludf.DUMMYFUNCTION("""COMPUTED_VALUE"""),45810.0)</f>
        <v>45810</v>
      </c>
      <c r="F717" s="13">
        <f>IFERROR(__xludf.DUMMYFUNCTION("""COMPUTED_VALUE"""),45810.0)</f>
        <v>45810</v>
      </c>
      <c r="G717" s="16" t="s">
        <v>5150</v>
      </c>
      <c r="H717" s="16" t="s">
        <v>5150</v>
      </c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 t="str">
        <f>IFERROR(__xludf.DUMMYFUNCTION("""COMPUTED_VALUE"""),"Oscar Health Inc  Cl A")</f>
        <v>Oscar Health Inc  Cl A</v>
      </c>
      <c r="B718" s="12" t="str">
        <f>IFERROR(__xludf.DUMMYFUNCTION("""COMPUTED_VALUE"""),"OSCR-US")</f>
        <v>OSCR-US</v>
      </c>
      <c r="C718" s="12"/>
      <c r="D718" s="13">
        <f>IFERROR(__xludf.DUMMYFUNCTION("""COMPUTED_VALUE"""),45426.0)</f>
        <v>45426</v>
      </c>
      <c r="E718" s="13">
        <f>IFERROR(__xludf.DUMMYFUNCTION("""COMPUTED_VALUE"""),45812.0)</f>
        <v>45812</v>
      </c>
      <c r="F718" s="13">
        <f>IFERROR(__xludf.DUMMYFUNCTION("""COMPUTED_VALUE"""),45812.0)</f>
        <v>45812</v>
      </c>
      <c r="G718" s="16" t="s">
        <v>5150</v>
      </c>
      <c r="H718" s="16" t="s">
        <v>5150</v>
      </c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 t="str">
        <f>IFERROR(__xludf.DUMMYFUNCTION("""COMPUTED_VALUE"""),"Four Corners Property Trust Inc  Com")</f>
        <v>Four Corners Property Trust Inc  Com</v>
      </c>
      <c r="B719" s="12" t="str">
        <f>IFERROR(__xludf.DUMMYFUNCTION("""COMPUTED_VALUE"""),"FCPT-US")</f>
        <v>FCPT-US</v>
      </c>
      <c r="C719" s="12"/>
      <c r="D719" s="13">
        <f>IFERROR(__xludf.DUMMYFUNCTION("""COMPUTED_VALUE"""),45426.0)</f>
        <v>45426</v>
      </c>
      <c r="E719" s="13">
        <f>IFERROR(__xludf.DUMMYFUNCTION("""COMPUTED_VALUE"""),45813.0)</f>
        <v>45813</v>
      </c>
      <c r="F719" s="13">
        <f>IFERROR(__xludf.DUMMYFUNCTION("""COMPUTED_VALUE"""),45813.0)</f>
        <v>45813</v>
      </c>
      <c r="G719" s="16" t="s">
        <v>5150</v>
      </c>
      <c r="H719" s="16" t="s">
        <v>5150</v>
      </c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 t="str">
        <f>IFERROR(__xludf.DUMMYFUNCTION("""COMPUTED_VALUE"""),"Amicus Therapeutics Inc  Com")</f>
        <v>Amicus Therapeutics Inc  Com</v>
      </c>
      <c r="B720" s="12" t="str">
        <f>IFERROR(__xludf.DUMMYFUNCTION("""COMPUTED_VALUE"""),"FOLD-US")</f>
        <v>FOLD-US</v>
      </c>
      <c r="C720" s="12"/>
      <c r="D720" s="13">
        <f>IFERROR(__xludf.DUMMYFUNCTION("""COMPUTED_VALUE"""),45426.0)</f>
        <v>45426</v>
      </c>
      <c r="E720" s="13">
        <f>IFERROR(__xludf.DUMMYFUNCTION("""COMPUTED_VALUE"""),45813.0)</f>
        <v>45813</v>
      </c>
      <c r="F720" s="13">
        <f>IFERROR(__xludf.DUMMYFUNCTION("""COMPUTED_VALUE"""),45813.0)</f>
        <v>45813</v>
      </c>
      <c r="G720" s="16" t="s">
        <v>5150</v>
      </c>
      <c r="H720" s="16" t="s">
        <v>5150</v>
      </c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 t="str">
        <f>IFERROR(__xludf.DUMMYFUNCTION("""COMPUTED_VALUE"""),"Tidewater Inc  Com")</f>
        <v>Tidewater Inc  Com</v>
      </c>
      <c r="B721" s="12" t="str">
        <f>IFERROR(__xludf.DUMMYFUNCTION("""COMPUTED_VALUE"""),"TDW-US")</f>
        <v>TDW-US</v>
      </c>
      <c r="C721" s="12"/>
      <c r="D721" s="13">
        <f>IFERROR(__xludf.DUMMYFUNCTION("""COMPUTED_VALUE"""),45426.0)</f>
        <v>45426</v>
      </c>
      <c r="E721" s="13">
        <f>IFERROR(__xludf.DUMMYFUNCTION("""COMPUTED_VALUE"""),45813.0)</f>
        <v>45813</v>
      </c>
      <c r="F721" s="13">
        <f>IFERROR(__xludf.DUMMYFUNCTION("""COMPUTED_VALUE"""),45813.0)</f>
        <v>45813</v>
      </c>
      <c r="G721" s="16" t="s">
        <v>5150</v>
      </c>
      <c r="H721" s="16" t="s">
        <v>5150</v>
      </c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 t="str">
        <f>IFERROR(__xludf.DUMMYFUNCTION("""COMPUTED_VALUE"""),"Digitalocean Holdings Inc  Com")</f>
        <v>Digitalocean Holdings Inc  Com</v>
      </c>
      <c r="B722" s="12" t="str">
        <f>IFERROR(__xludf.DUMMYFUNCTION("""COMPUTED_VALUE"""),"DOCN-US")</f>
        <v>DOCN-US</v>
      </c>
      <c r="C722" s="12"/>
      <c r="D722" s="13">
        <f>IFERROR(__xludf.DUMMYFUNCTION("""COMPUTED_VALUE"""),45426.0)</f>
        <v>45426</v>
      </c>
      <c r="E722" s="13">
        <f>IFERROR(__xludf.DUMMYFUNCTION("""COMPUTED_VALUE"""),45817.0)</f>
        <v>45817</v>
      </c>
      <c r="F722" s="13">
        <f>IFERROR(__xludf.DUMMYFUNCTION("""COMPUTED_VALUE"""),45817.0)</f>
        <v>45817</v>
      </c>
      <c r="G722" s="16" t="s">
        <v>5150</v>
      </c>
      <c r="H722" s="16" t="s">
        <v>5150</v>
      </c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 t="str">
        <f>IFERROR(__xludf.DUMMYFUNCTION("""COMPUTED_VALUE"""),"Visteon Corp  Com")</f>
        <v>Visteon Corp  Com</v>
      </c>
      <c r="B723" s="12" t="str">
        <f>IFERROR(__xludf.DUMMYFUNCTION("""COMPUTED_VALUE"""),"VC-US")</f>
        <v>VC-US</v>
      </c>
      <c r="C723" s="12"/>
      <c r="D723" s="13">
        <f>IFERROR(__xludf.DUMMYFUNCTION("""COMPUTED_VALUE"""),45426.0)</f>
        <v>45426</v>
      </c>
      <c r="E723" s="13">
        <f>IFERROR(__xludf.DUMMYFUNCTION("""COMPUTED_VALUE"""),45813.0)</f>
        <v>45813</v>
      </c>
      <c r="F723" s="13">
        <f>IFERROR(__xludf.DUMMYFUNCTION("""COMPUTED_VALUE"""),45813.0)</f>
        <v>45813</v>
      </c>
      <c r="G723" s="16" t="s">
        <v>5150</v>
      </c>
      <c r="H723" s="16" t="s">
        <v>5150</v>
      </c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 t="str">
        <f>IFERROR(__xludf.DUMMYFUNCTION("""COMPUTED_VALUE"""),"World Kinect(Fuel) Corp  Com")</f>
        <v>World Kinect(Fuel) Corp  Com</v>
      </c>
      <c r="B724" s="12" t="str">
        <f>IFERROR(__xludf.DUMMYFUNCTION("""COMPUTED_VALUE"""),"WKC-US")</f>
        <v>WKC-US</v>
      </c>
      <c r="C724" s="12"/>
      <c r="D724" s="13">
        <f>IFERROR(__xludf.DUMMYFUNCTION("""COMPUTED_VALUE"""),45427.0)</f>
        <v>45427</v>
      </c>
      <c r="E724" s="13">
        <f>IFERROR(__xludf.DUMMYFUNCTION("""COMPUTED_VALUE"""),45813.0)</f>
        <v>45813</v>
      </c>
      <c r="F724" s="13">
        <f>IFERROR(__xludf.DUMMYFUNCTION("""COMPUTED_VALUE"""),45813.0)</f>
        <v>45813</v>
      </c>
      <c r="G724" s="16" t="s">
        <v>5150</v>
      </c>
      <c r="H724" s="16" t="s">
        <v>5150</v>
      </c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 t="str">
        <f>IFERROR(__xludf.DUMMYFUNCTION("""COMPUTED_VALUE"""),"Kosmos Energy Ltd  Com")</f>
        <v>Kosmos Energy Ltd  Com</v>
      </c>
      <c r="B725" s="12" t="str">
        <f>IFERROR(__xludf.DUMMYFUNCTION("""COMPUTED_VALUE"""),"KOS-US")</f>
        <v>KOS-US</v>
      </c>
      <c r="C725" s="12"/>
      <c r="D725" s="13">
        <f>IFERROR(__xludf.DUMMYFUNCTION("""COMPUTED_VALUE"""),45427.0)</f>
        <v>45427</v>
      </c>
      <c r="E725" s="13">
        <f>IFERROR(__xludf.DUMMYFUNCTION("""COMPUTED_VALUE"""),45813.0)</f>
        <v>45813</v>
      </c>
      <c r="F725" s="13">
        <f>IFERROR(__xludf.DUMMYFUNCTION("""COMPUTED_VALUE"""),45813.0)</f>
        <v>45813</v>
      </c>
      <c r="G725" s="16" t="s">
        <v>5150</v>
      </c>
      <c r="H725" s="16" t="s">
        <v>5150</v>
      </c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 t="str">
        <f>IFERROR(__xludf.DUMMYFUNCTION("""COMPUTED_VALUE"""),"Surgery Partners Inc  Com")</f>
        <v>Surgery Partners Inc  Com</v>
      </c>
      <c r="B726" s="12" t="str">
        <f>IFERROR(__xludf.DUMMYFUNCTION("""COMPUTED_VALUE"""),"SGRY-US")</f>
        <v>SGRY-US</v>
      </c>
      <c r="C726" s="12"/>
      <c r="D726" s="13">
        <f>IFERROR(__xludf.DUMMYFUNCTION("""COMPUTED_VALUE"""),45427.0)</f>
        <v>45427</v>
      </c>
      <c r="E726" s="13">
        <f>IFERROR(__xludf.DUMMYFUNCTION("""COMPUTED_VALUE"""),45814.0)</f>
        <v>45814</v>
      </c>
      <c r="F726" s="13">
        <f>IFERROR(__xludf.DUMMYFUNCTION("""COMPUTED_VALUE"""),45814.0)</f>
        <v>45814</v>
      </c>
      <c r="G726" s="16" t="s">
        <v>5150</v>
      </c>
      <c r="H726" s="16" t="s">
        <v>5150</v>
      </c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 t="str">
        <f>IFERROR(__xludf.DUMMYFUNCTION("""COMPUTED_VALUE"""),"Applied Optoelectronics Inc  Com")</f>
        <v>Applied Optoelectronics Inc  Com</v>
      </c>
      <c r="B727" s="12" t="str">
        <f>IFERROR(__xludf.DUMMYFUNCTION("""COMPUTED_VALUE"""),"AAOI-US")</f>
        <v>AAOI-US</v>
      </c>
      <c r="C727" s="12"/>
      <c r="D727" s="13">
        <f>IFERROR(__xludf.DUMMYFUNCTION("""COMPUTED_VALUE"""),45427.0)</f>
        <v>45427</v>
      </c>
      <c r="E727" s="13">
        <f>IFERROR(__xludf.DUMMYFUNCTION("""COMPUTED_VALUE"""),45820.0)</f>
        <v>45820</v>
      </c>
      <c r="F727" s="13">
        <f>IFERROR(__xludf.DUMMYFUNCTION("""COMPUTED_VALUE"""),45820.0)</f>
        <v>45820</v>
      </c>
      <c r="G727" s="16" t="s">
        <v>5150</v>
      </c>
      <c r="H727" s="16" t="s">
        <v>5150</v>
      </c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 t="str">
        <f>IFERROR(__xludf.DUMMYFUNCTION("""COMPUTED_VALUE"""),"Helios Technologies Inc  Com")</f>
        <v>Helios Technologies Inc  Com</v>
      </c>
      <c r="B728" s="12" t="str">
        <f>IFERROR(__xludf.DUMMYFUNCTION("""COMPUTED_VALUE"""),"HLIO-US")</f>
        <v>HLIO-US</v>
      </c>
      <c r="C728" s="12"/>
      <c r="D728" s="13">
        <f>IFERROR(__xludf.DUMMYFUNCTION("""COMPUTED_VALUE"""),45427.0)</f>
        <v>45427</v>
      </c>
      <c r="E728" s="13">
        <f>IFERROR(__xludf.DUMMYFUNCTION("""COMPUTED_VALUE"""),45812.0)</f>
        <v>45812</v>
      </c>
      <c r="F728" s="13">
        <f>IFERROR(__xludf.DUMMYFUNCTION("""COMPUTED_VALUE"""),45812.0)</f>
        <v>45812</v>
      </c>
      <c r="G728" s="16" t="s">
        <v>5150</v>
      </c>
      <c r="H728" s="16" t="s">
        <v>5150</v>
      </c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 t="str">
        <f>IFERROR(__xludf.DUMMYFUNCTION("""COMPUTED_VALUE"""),"Appian Corp  Cl A")</f>
        <v>Appian Corp  Cl A</v>
      </c>
      <c r="B729" s="12" t="str">
        <f>IFERROR(__xludf.DUMMYFUNCTION("""COMPUTED_VALUE"""),"APPN-US")</f>
        <v>APPN-US</v>
      </c>
      <c r="C729" s="12"/>
      <c r="D729" s="13">
        <f>IFERROR(__xludf.DUMMYFUNCTION("""COMPUTED_VALUE"""),45427.0)</f>
        <v>45427</v>
      </c>
      <c r="E729" s="13">
        <f>IFERROR(__xludf.DUMMYFUNCTION("""COMPUTED_VALUE"""),45812.0)</f>
        <v>45812</v>
      </c>
      <c r="F729" s="13">
        <f>IFERROR(__xludf.DUMMYFUNCTION("""COMPUTED_VALUE"""),45812.0)</f>
        <v>45812</v>
      </c>
      <c r="G729" s="16" t="s">
        <v>5150</v>
      </c>
      <c r="H729" s="16" t="s">
        <v>5150</v>
      </c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 t="str">
        <f>IFERROR(__xludf.DUMMYFUNCTION("""COMPUTED_VALUE"""),"Imax Corp  Com")</f>
        <v>Imax Corp  Com</v>
      </c>
      <c r="B730" s="12" t="str">
        <f>IFERROR(__xludf.DUMMYFUNCTION("""COMPUTED_VALUE"""),"IMAX-US")</f>
        <v>IMAX-US</v>
      </c>
      <c r="C730" s="12"/>
      <c r="D730" s="13">
        <f>IFERROR(__xludf.DUMMYFUNCTION("""COMPUTED_VALUE"""),45427.0)</f>
        <v>45427</v>
      </c>
      <c r="E730" s="13">
        <f>IFERROR(__xludf.DUMMYFUNCTION("""COMPUTED_VALUE"""),45819.0)</f>
        <v>45819</v>
      </c>
      <c r="F730" s="13">
        <f>IFERROR(__xludf.DUMMYFUNCTION("""COMPUTED_VALUE"""),45819.0)</f>
        <v>45819</v>
      </c>
      <c r="G730" s="16" t="s">
        <v>5150</v>
      </c>
      <c r="H730" s="16" t="s">
        <v>5150</v>
      </c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 t="str">
        <f>IFERROR(__xludf.DUMMYFUNCTION("""COMPUTED_VALUE"""),"Evolent Health Inc  Cl A")</f>
        <v>Evolent Health Inc  Cl A</v>
      </c>
      <c r="B731" s="12" t="str">
        <f>IFERROR(__xludf.DUMMYFUNCTION("""COMPUTED_VALUE"""),"EVH-US")</f>
        <v>EVH-US</v>
      </c>
      <c r="C731" s="12"/>
      <c r="D731" s="13">
        <f>IFERROR(__xludf.DUMMYFUNCTION("""COMPUTED_VALUE"""),45427.0)</f>
        <v>45427</v>
      </c>
      <c r="E731" s="13">
        <f>IFERROR(__xludf.DUMMYFUNCTION("""COMPUTED_VALUE"""),45813.0)</f>
        <v>45813</v>
      </c>
      <c r="F731" s="13">
        <f>IFERROR(__xludf.DUMMYFUNCTION("""COMPUTED_VALUE"""),45813.0)</f>
        <v>45813</v>
      </c>
      <c r="G731" s="16" t="s">
        <v>5150</v>
      </c>
      <c r="H731" s="16" t="s">
        <v>5150</v>
      </c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 t="str">
        <f>IFERROR(__xludf.DUMMYFUNCTION("""COMPUTED_VALUE"""),"Myriad Genetics Inc  Com")</f>
        <v>Myriad Genetics Inc  Com</v>
      </c>
      <c r="B732" s="12" t="str">
        <f>IFERROR(__xludf.DUMMYFUNCTION("""COMPUTED_VALUE"""),"MYGN-US")</f>
        <v>MYGN-US</v>
      </c>
      <c r="C732" s="12"/>
      <c r="D732" s="13">
        <f>IFERROR(__xludf.DUMMYFUNCTION("""COMPUTED_VALUE"""),45427.0)</f>
        <v>45427</v>
      </c>
      <c r="E732" s="13">
        <f>IFERROR(__xludf.DUMMYFUNCTION("""COMPUTED_VALUE"""),45813.0)</f>
        <v>45813</v>
      </c>
      <c r="F732" s="13">
        <f>IFERROR(__xludf.DUMMYFUNCTION("""COMPUTED_VALUE"""),45813.0)</f>
        <v>45813</v>
      </c>
      <c r="G732" s="16" t="s">
        <v>5150</v>
      </c>
      <c r="H732" s="16" t="s">
        <v>5150</v>
      </c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 t="str">
        <f>IFERROR(__xludf.DUMMYFUNCTION("""COMPUTED_VALUE"""),"Ladder Capital Corp  Cl A")</f>
        <v>Ladder Capital Corp  Cl A</v>
      </c>
      <c r="B733" s="12" t="str">
        <f>IFERROR(__xludf.DUMMYFUNCTION("""COMPUTED_VALUE"""),"LADR-US")</f>
        <v>LADR-US</v>
      </c>
      <c r="C733" s="12"/>
      <c r="D733" s="13">
        <f>IFERROR(__xludf.DUMMYFUNCTION("""COMPUTED_VALUE"""),45427.0)</f>
        <v>45427</v>
      </c>
      <c r="E733" s="13">
        <f>IFERROR(__xludf.DUMMYFUNCTION("""COMPUTED_VALUE"""),45813.0)</f>
        <v>45813</v>
      </c>
      <c r="F733" s="13">
        <f>IFERROR(__xludf.DUMMYFUNCTION("""COMPUTED_VALUE"""),45813.0)</f>
        <v>45813</v>
      </c>
      <c r="G733" s="16" t="s">
        <v>5150</v>
      </c>
      <c r="H733" s="16" t="s">
        <v>5150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 t="str">
        <f>IFERROR(__xludf.DUMMYFUNCTION("""COMPUTED_VALUE"""),"Kennedy Wilson Holdings Inc  Com")</f>
        <v>Kennedy Wilson Holdings Inc  Com</v>
      </c>
      <c r="B734" s="12" t="str">
        <f>IFERROR(__xludf.DUMMYFUNCTION("""COMPUTED_VALUE"""),"KW-US")</f>
        <v>KW-US</v>
      </c>
      <c r="C734" s="12"/>
      <c r="D734" s="13">
        <f>IFERROR(__xludf.DUMMYFUNCTION("""COMPUTED_VALUE"""),45427.0)</f>
        <v>45427</v>
      </c>
      <c r="E734" s="13">
        <f>IFERROR(__xludf.DUMMYFUNCTION("""COMPUTED_VALUE"""),45813.0)</f>
        <v>45813</v>
      </c>
      <c r="F734" s="13">
        <f>IFERROR(__xludf.DUMMYFUNCTION("""COMPUTED_VALUE"""),45813.0)</f>
        <v>45813</v>
      </c>
      <c r="G734" s="16" t="s">
        <v>5150</v>
      </c>
      <c r="H734" s="16" t="s">
        <v>5150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 t="str">
        <f>IFERROR(__xludf.DUMMYFUNCTION("""COMPUTED_VALUE"""),"Rxsight Inc  Com")</f>
        <v>Rxsight Inc  Com</v>
      </c>
      <c r="B735" s="12" t="str">
        <f>IFERROR(__xludf.DUMMYFUNCTION("""COMPUTED_VALUE"""),"RXST-US")</f>
        <v>RXST-US</v>
      </c>
      <c r="C735" s="12"/>
      <c r="D735" s="13">
        <f>IFERROR(__xludf.DUMMYFUNCTION("""COMPUTED_VALUE"""),45427.0)</f>
        <v>45427</v>
      </c>
      <c r="E735" s="13">
        <f>IFERROR(__xludf.DUMMYFUNCTION("""COMPUTED_VALUE"""),45811.0)</f>
        <v>45811</v>
      </c>
      <c r="F735" s="13">
        <f>IFERROR(__xludf.DUMMYFUNCTION("""COMPUTED_VALUE"""),45811.0)</f>
        <v>45811</v>
      </c>
      <c r="G735" s="16" t="s">
        <v>5150</v>
      </c>
      <c r="H735" s="16" t="s">
        <v>5150</v>
      </c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 t="str">
        <f>IFERROR(__xludf.DUMMYFUNCTION("""COMPUTED_VALUE"""),"Legalzoom Com Inc  Com")</f>
        <v>Legalzoom Com Inc  Com</v>
      </c>
      <c r="B736" s="12" t="str">
        <f>IFERROR(__xludf.DUMMYFUNCTION("""COMPUTED_VALUE"""),"LZ-US")</f>
        <v>LZ-US</v>
      </c>
      <c r="C736" s="12"/>
      <c r="D736" s="13">
        <f>IFERROR(__xludf.DUMMYFUNCTION("""COMPUTED_VALUE"""),45427.0)</f>
        <v>45427</v>
      </c>
      <c r="E736" s="13">
        <f>IFERROR(__xludf.DUMMYFUNCTION("""COMPUTED_VALUE"""),45811.0)</f>
        <v>45811</v>
      </c>
      <c r="F736" s="13">
        <f>IFERROR(__xludf.DUMMYFUNCTION("""COMPUTED_VALUE"""),45811.0)</f>
        <v>45811</v>
      </c>
      <c r="G736" s="16" t="s">
        <v>5150</v>
      </c>
      <c r="H736" s="16" t="s">
        <v>5150</v>
      </c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 t="str">
        <f>IFERROR(__xludf.DUMMYFUNCTION("""COMPUTED_VALUE"""),"Fresh Del Monte Produce Inc  Ord")</f>
        <v>Fresh Del Monte Produce Inc  Ord</v>
      </c>
      <c r="B737" s="12" t="str">
        <f>IFERROR(__xludf.DUMMYFUNCTION("""COMPUTED_VALUE"""),"FDP-US")</f>
        <v>FDP-US</v>
      </c>
      <c r="C737" s="12"/>
      <c r="D737" s="13">
        <f>IFERROR(__xludf.DUMMYFUNCTION("""COMPUTED_VALUE"""),45427.0)</f>
        <v>45427</v>
      </c>
      <c r="E737" s="13">
        <f>IFERROR(__xludf.DUMMYFUNCTION("""COMPUTED_VALUE"""),45813.0)</f>
        <v>45813</v>
      </c>
      <c r="F737" s="13">
        <f>IFERROR(__xludf.DUMMYFUNCTION("""COMPUTED_VALUE"""),45813.0)</f>
        <v>45813</v>
      </c>
      <c r="G737" s="15" t="s">
        <v>5150</v>
      </c>
      <c r="H737" s="15" t="s">
        <v>5150</v>
      </c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 t="str">
        <f>IFERROR(__xludf.DUMMYFUNCTION("""COMPUTED_VALUE"""),"D Wave Quantum Inc  Com")</f>
        <v>D Wave Quantum Inc  Com</v>
      </c>
      <c r="B738" s="12" t="str">
        <f>IFERROR(__xludf.DUMMYFUNCTION("""COMPUTED_VALUE"""),"QBTS-US")</f>
        <v>QBTS-US</v>
      </c>
      <c r="C738" s="12"/>
      <c r="D738" s="13">
        <f>IFERROR(__xludf.DUMMYFUNCTION("""COMPUTED_VALUE"""),45427.0)</f>
        <v>45427</v>
      </c>
      <c r="E738" s="13">
        <f>IFERROR(__xludf.DUMMYFUNCTION("""COMPUTED_VALUE"""),45813.0)</f>
        <v>45813</v>
      </c>
      <c r="F738" s="13">
        <f>IFERROR(__xludf.DUMMYFUNCTION("""COMPUTED_VALUE"""),45813.0)</f>
        <v>45813</v>
      </c>
      <c r="G738" s="15" t="s">
        <v>5150</v>
      </c>
      <c r="H738" s="15" t="s">
        <v>5150</v>
      </c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 t="str">
        <f>IFERROR(__xludf.DUMMYFUNCTION("""COMPUTED_VALUE"""),"Soleno Therapeutics Inc  Com")</f>
        <v>Soleno Therapeutics Inc  Com</v>
      </c>
      <c r="B739" s="12" t="str">
        <f>IFERROR(__xludf.DUMMYFUNCTION("""COMPUTED_VALUE"""),"SLNO-US")</f>
        <v>SLNO-US</v>
      </c>
      <c r="C739" s="12"/>
      <c r="D739" s="13">
        <f>IFERROR(__xludf.DUMMYFUNCTION("""COMPUTED_VALUE"""),45427.0)</f>
        <v>45427</v>
      </c>
      <c r="E739" s="13">
        <f>IFERROR(__xludf.DUMMYFUNCTION("""COMPUTED_VALUE"""),45813.0)</f>
        <v>45813</v>
      </c>
      <c r="F739" s="13">
        <f>IFERROR(__xludf.DUMMYFUNCTION("""COMPUTED_VALUE"""),45813.0)</f>
        <v>45813</v>
      </c>
      <c r="G739" s="15" t="s">
        <v>5150</v>
      </c>
      <c r="H739" s="15" t="s">
        <v>5150</v>
      </c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 t="str">
        <f>IFERROR(__xludf.DUMMYFUNCTION("""COMPUTED_VALUE"""),"Intuitive Machines Inc  Cl A")</f>
        <v>Intuitive Machines Inc  Cl A</v>
      </c>
      <c r="B740" s="12" t="str">
        <f>IFERROR(__xludf.DUMMYFUNCTION("""COMPUTED_VALUE"""),"LUNR-US")</f>
        <v>LUNR-US</v>
      </c>
      <c r="C740" s="12"/>
      <c r="D740" s="13">
        <f>IFERROR(__xludf.DUMMYFUNCTION("""COMPUTED_VALUE"""),45427.0)</f>
        <v>45427</v>
      </c>
      <c r="E740" s="13">
        <f>IFERROR(__xludf.DUMMYFUNCTION("""COMPUTED_VALUE"""),45813.0)</f>
        <v>45813</v>
      </c>
      <c r="F740" s="13">
        <f>IFERROR(__xludf.DUMMYFUNCTION("""COMPUTED_VALUE"""),45813.0)</f>
        <v>45813</v>
      </c>
      <c r="G740" s="15" t="s">
        <v>5150</v>
      </c>
      <c r="H740" s="15" t="s">
        <v>5150</v>
      </c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 t="str">
        <f>IFERROR(__xludf.DUMMYFUNCTION("""COMPUTED_VALUE"""),"Energy Recovery Inc  Com")</f>
        <v>Energy Recovery Inc  Com</v>
      </c>
      <c r="B741" s="12" t="str">
        <f>IFERROR(__xludf.DUMMYFUNCTION("""COMPUTED_VALUE"""),"ERII-US")</f>
        <v>ERII-US</v>
      </c>
      <c r="C741" s="12"/>
      <c r="D741" s="13">
        <f>IFERROR(__xludf.DUMMYFUNCTION("""COMPUTED_VALUE"""),45427.0)</f>
        <v>45427</v>
      </c>
      <c r="E741" s="13">
        <f>IFERROR(__xludf.DUMMYFUNCTION("""COMPUTED_VALUE"""),45813.0)</f>
        <v>45813</v>
      </c>
      <c r="F741" s="13">
        <f>IFERROR(__xludf.DUMMYFUNCTION("""COMPUTED_VALUE"""),45813.0)</f>
        <v>45813</v>
      </c>
      <c r="G741" s="15" t="s">
        <v>5150</v>
      </c>
      <c r="H741" s="15" t="s">
        <v>5150</v>
      </c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 t="str">
        <f>IFERROR(__xludf.DUMMYFUNCTION("""COMPUTED_VALUE"""),"Acadian Asset Management Inc  Com")</f>
        <v>Acadian Asset Management Inc  Com</v>
      </c>
      <c r="B742" s="12" t="str">
        <f>IFERROR(__xludf.DUMMYFUNCTION("""COMPUTED_VALUE"""),"AAMI-US")</f>
        <v>AAMI-US</v>
      </c>
      <c r="C742" s="12"/>
      <c r="D742" s="13">
        <f>IFERROR(__xludf.DUMMYFUNCTION("""COMPUTED_VALUE"""),45427.0)</f>
        <v>45427</v>
      </c>
      <c r="E742" s="13">
        <f>IFERROR(__xludf.DUMMYFUNCTION("""COMPUTED_VALUE"""),45790.0)</f>
        <v>45790</v>
      </c>
      <c r="F742" s="13">
        <f>IFERROR(__xludf.DUMMYFUNCTION("""COMPUTED_VALUE"""),45790.0)</f>
        <v>45790</v>
      </c>
      <c r="G742" s="16" t="s">
        <v>5151</v>
      </c>
      <c r="H742" s="16" t="s">
        <v>5151</v>
      </c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 t="str">
        <f>IFERROR(__xludf.DUMMYFUNCTION("""COMPUTED_VALUE"""),"Omeros Corp  Com")</f>
        <v>Omeros Corp  Com</v>
      </c>
      <c r="B743" s="12" t="str">
        <f>IFERROR(__xludf.DUMMYFUNCTION("""COMPUTED_VALUE"""),"OMER-US")</f>
        <v>OMER-US</v>
      </c>
      <c r="C743" s="12"/>
      <c r="D743" s="13">
        <f>IFERROR(__xludf.DUMMYFUNCTION("""COMPUTED_VALUE"""),45427.0)</f>
        <v>45427</v>
      </c>
      <c r="E743" s="13">
        <f>IFERROR(__xludf.DUMMYFUNCTION("""COMPUTED_VALUE"""),45835.0)</f>
        <v>45835</v>
      </c>
      <c r="F743" s="13">
        <f>IFERROR(__xludf.DUMMYFUNCTION("""COMPUTED_VALUE"""),45835.0)</f>
        <v>45835</v>
      </c>
      <c r="G743" s="15" t="s">
        <v>5150</v>
      </c>
      <c r="H743" s="15" t="s">
        <v>5150</v>
      </c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 t="str">
        <f>IFERROR(__xludf.DUMMYFUNCTION("""COMPUTED_VALUE"""),"Akebia Therapeutics Inc  Com")</f>
        <v>Akebia Therapeutics Inc  Com</v>
      </c>
      <c r="B744" s="12" t="str">
        <f>IFERROR(__xludf.DUMMYFUNCTION("""COMPUTED_VALUE"""),"AKBA-US")</f>
        <v>AKBA-US</v>
      </c>
      <c r="C744" s="12"/>
      <c r="D744" s="13">
        <f>IFERROR(__xludf.DUMMYFUNCTION("""COMPUTED_VALUE"""),45427.0)</f>
        <v>45427</v>
      </c>
      <c r="E744" s="13">
        <f>IFERROR(__xludf.DUMMYFUNCTION("""COMPUTED_VALUE"""),45818.0)</f>
        <v>45818</v>
      </c>
      <c r="F744" s="13">
        <f>IFERROR(__xludf.DUMMYFUNCTION("""COMPUTED_VALUE"""),45818.0)</f>
        <v>45818</v>
      </c>
      <c r="G744" s="15" t="s">
        <v>5150</v>
      </c>
      <c r="H744" s="15" t="s">
        <v>5150</v>
      </c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 t="str">
        <f>IFERROR(__xludf.DUMMYFUNCTION("""COMPUTED_VALUE"""),"Ivanhoe Electric Inc  Com")</f>
        <v>Ivanhoe Electric Inc  Com</v>
      </c>
      <c r="B745" s="12" t="str">
        <f>IFERROR(__xludf.DUMMYFUNCTION("""COMPUTED_VALUE"""),"IE-US")</f>
        <v>IE-US</v>
      </c>
      <c r="C745" s="12"/>
      <c r="D745" s="13">
        <f>IFERROR(__xludf.DUMMYFUNCTION("""COMPUTED_VALUE"""),45427.0)</f>
        <v>45427</v>
      </c>
      <c r="E745" s="13">
        <f>IFERROR(__xludf.DUMMYFUNCTION("""COMPUTED_VALUE"""),45813.0)</f>
        <v>45813</v>
      </c>
      <c r="F745" s="13">
        <f>IFERROR(__xludf.DUMMYFUNCTION("""COMPUTED_VALUE"""),45813.0)</f>
        <v>45813</v>
      </c>
      <c r="G745" s="15" t="s">
        <v>5150</v>
      </c>
      <c r="H745" s="15" t="s">
        <v>5150</v>
      </c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 t="str">
        <f>IFERROR(__xludf.DUMMYFUNCTION("""COMPUTED_VALUE"""),"Arcus Biosciences Inc  Com")</f>
        <v>Arcus Biosciences Inc  Com</v>
      </c>
      <c r="B746" s="12" t="str">
        <f>IFERROR(__xludf.DUMMYFUNCTION("""COMPUTED_VALUE"""),"RCUS-US")</f>
        <v>RCUS-US</v>
      </c>
      <c r="C746" s="12"/>
      <c r="D746" s="13">
        <f>IFERROR(__xludf.DUMMYFUNCTION("""COMPUTED_VALUE"""),45427.0)</f>
        <v>45427</v>
      </c>
      <c r="E746" s="13">
        <f>IFERROR(__xludf.DUMMYFUNCTION("""COMPUTED_VALUE"""),45818.0)</f>
        <v>45818</v>
      </c>
      <c r="F746" s="13">
        <f>IFERROR(__xludf.DUMMYFUNCTION("""COMPUTED_VALUE"""),45818.0)</f>
        <v>45818</v>
      </c>
      <c r="G746" s="15" t="s">
        <v>5150</v>
      </c>
      <c r="H746" s="15" t="s">
        <v>5150</v>
      </c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 t="str">
        <f>IFERROR(__xludf.DUMMYFUNCTION("""COMPUTED_VALUE"""),"Gcm Grosvenor Inc  Cl A")</f>
        <v>Gcm Grosvenor Inc  Cl A</v>
      </c>
      <c r="B747" s="12" t="str">
        <f>IFERROR(__xludf.DUMMYFUNCTION("""COMPUTED_VALUE"""),"GCMG-US")</f>
        <v>GCMG-US</v>
      </c>
      <c r="C747" s="12"/>
      <c r="D747" s="13">
        <f>IFERROR(__xludf.DUMMYFUNCTION("""COMPUTED_VALUE"""),45427.0)</f>
        <v>45427</v>
      </c>
      <c r="E747" s="13">
        <f>IFERROR(__xludf.DUMMYFUNCTION("""COMPUTED_VALUE"""),45813.0)</f>
        <v>45813</v>
      </c>
      <c r="F747" s="13">
        <f>IFERROR(__xludf.DUMMYFUNCTION("""COMPUTED_VALUE"""),45813.0)</f>
        <v>45813</v>
      </c>
      <c r="G747" s="15" t="s">
        <v>5150</v>
      </c>
      <c r="H747" s="15" t="s">
        <v>5150</v>
      </c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 t="str">
        <f>IFERROR(__xludf.DUMMYFUNCTION("""COMPUTED_VALUE"""),"Excelerate Energy Inc  Cl A")</f>
        <v>Excelerate Energy Inc  Cl A</v>
      </c>
      <c r="B748" s="12" t="str">
        <f>IFERROR(__xludf.DUMMYFUNCTION("""COMPUTED_VALUE"""),"EE-US")</f>
        <v>EE-US</v>
      </c>
      <c r="C748" s="12"/>
      <c r="D748" s="13">
        <f>IFERROR(__xludf.DUMMYFUNCTION("""COMPUTED_VALUE"""),45427.0)</f>
        <v>45427</v>
      </c>
      <c r="E748" s="13">
        <f>IFERROR(__xludf.DUMMYFUNCTION("""COMPUTED_VALUE"""),45819.0)</f>
        <v>45819</v>
      </c>
      <c r="F748" s="13">
        <f>IFERROR(__xludf.DUMMYFUNCTION("""COMPUTED_VALUE"""),45819.0)</f>
        <v>45819</v>
      </c>
      <c r="G748" s="15" t="s">
        <v>5150</v>
      </c>
      <c r="H748" s="15" t="s">
        <v>5150</v>
      </c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 t="str">
        <f>IFERROR(__xludf.DUMMYFUNCTION("""COMPUTED_VALUE"""),"Everquote Inc  Cl A")</f>
        <v>Everquote Inc  Cl A</v>
      </c>
      <c r="B749" s="12" t="str">
        <f>IFERROR(__xludf.DUMMYFUNCTION("""COMPUTED_VALUE"""),"EVER-US")</f>
        <v>EVER-US</v>
      </c>
      <c r="C749" s="12"/>
      <c r="D749" s="13">
        <f>IFERROR(__xludf.DUMMYFUNCTION("""COMPUTED_VALUE"""),45427.0)</f>
        <v>45427</v>
      </c>
      <c r="E749" s="13">
        <f>IFERROR(__xludf.DUMMYFUNCTION("""COMPUTED_VALUE"""),45813.0)</f>
        <v>45813</v>
      </c>
      <c r="F749" s="13">
        <f>IFERROR(__xludf.DUMMYFUNCTION("""COMPUTED_VALUE"""),45813.0)</f>
        <v>45813</v>
      </c>
      <c r="G749" s="15" t="s">
        <v>5150</v>
      </c>
      <c r="H749" s="15" t="s">
        <v>5150</v>
      </c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 t="str">
        <f>IFERROR(__xludf.DUMMYFUNCTION("""COMPUTED_VALUE"""),"Ur Energy Inc  Com")</f>
        <v>Ur Energy Inc  Com</v>
      </c>
      <c r="B750" s="12" t="str">
        <f>IFERROR(__xludf.DUMMYFUNCTION("""COMPUTED_VALUE"""),"URE-CA")</f>
        <v>URE-CA</v>
      </c>
      <c r="C750" s="12"/>
      <c r="D750" s="13">
        <f>IFERROR(__xludf.DUMMYFUNCTION("""COMPUTED_VALUE"""),45427.0)</f>
        <v>45427</v>
      </c>
      <c r="E750" s="13">
        <f>IFERROR(__xludf.DUMMYFUNCTION("""COMPUTED_VALUE"""),45813.0)</f>
        <v>45813</v>
      </c>
      <c r="F750" s="13">
        <f>IFERROR(__xludf.DUMMYFUNCTION("""COMPUTED_VALUE"""),45813.0)</f>
        <v>45813</v>
      </c>
      <c r="G750" s="16" t="s">
        <v>5152</v>
      </c>
      <c r="H750" s="16" t="s">
        <v>5152</v>
      </c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 t="str">
        <f>IFERROR(__xludf.DUMMYFUNCTION("""COMPUTED_VALUE"""),"Semrush Holdings Inc  Cl A")</f>
        <v>Semrush Holdings Inc  Cl A</v>
      </c>
      <c r="B751" s="12" t="str">
        <f>IFERROR(__xludf.DUMMYFUNCTION("""COMPUTED_VALUE"""),"SEMR-US")</f>
        <v>SEMR-US</v>
      </c>
      <c r="C751" s="12"/>
      <c r="D751" s="13">
        <f>IFERROR(__xludf.DUMMYFUNCTION("""COMPUTED_VALUE"""),45427.0)</f>
        <v>45427</v>
      </c>
      <c r="E751" s="13">
        <f>IFERROR(__xludf.DUMMYFUNCTION("""COMPUTED_VALUE"""),45813.0)</f>
        <v>45813</v>
      </c>
      <c r="F751" s="13">
        <f>IFERROR(__xludf.DUMMYFUNCTION("""COMPUTED_VALUE"""),45813.0)</f>
        <v>45813</v>
      </c>
      <c r="G751" s="15" t="s">
        <v>5150</v>
      </c>
      <c r="H751" s="15" t="s">
        <v>5150</v>
      </c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 t="str">
        <f>IFERROR(__xludf.DUMMYFUNCTION("""COMPUTED_VALUE"""),"Columbia Financial Inc  Com")</f>
        <v>Columbia Financial Inc  Com</v>
      </c>
      <c r="B752" s="12" t="str">
        <f>IFERROR(__xludf.DUMMYFUNCTION("""COMPUTED_VALUE"""),"CLBK-US")</f>
        <v>CLBK-US</v>
      </c>
      <c r="C752" s="12"/>
      <c r="D752" s="13">
        <f>IFERROR(__xludf.DUMMYFUNCTION("""COMPUTED_VALUE"""),45427.0)</f>
        <v>45427</v>
      </c>
      <c r="E752" s="13">
        <f>IFERROR(__xludf.DUMMYFUNCTION("""COMPUTED_VALUE"""),45813.0)</f>
        <v>45813</v>
      </c>
      <c r="F752" s="13">
        <f>IFERROR(__xludf.DUMMYFUNCTION("""COMPUTED_VALUE"""),45813.0)</f>
        <v>45813</v>
      </c>
      <c r="G752" s="15" t="s">
        <v>5150</v>
      </c>
      <c r="H752" s="15" t="s">
        <v>5150</v>
      </c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 t="str">
        <f>IFERROR(__xludf.DUMMYFUNCTION("""COMPUTED_VALUE"""),"Arko Corp  Com")</f>
        <v>Arko Corp  Com</v>
      </c>
      <c r="B753" s="12" t="str">
        <f>IFERROR(__xludf.DUMMYFUNCTION("""COMPUTED_VALUE"""),"ARKO-US")</f>
        <v>ARKO-US</v>
      </c>
      <c r="C753" s="12"/>
      <c r="D753" s="13">
        <f>IFERROR(__xludf.DUMMYFUNCTION("""COMPUTED_VALUE"""),45427.0)</f>
        <v>45427</v>
      </c>
      <c r="E753" s="13">
        <f>IFERROR(__xludf.DUMMYFUNCTION("""COMPUTED_VALUE"""),45813.0)</f>
        <v>45813</v>
      </c>
      <c r="F753" s="13">
        <f>IFERROR(__xludf.DUMMYFUNCTION("""COMPUTED_VALUE"""),45813.0)</f>
        <v>45813</v>
      </c>
      <c r="G753" s="15" t="s">
        <v>5150</v>
      </c>
      <c r="H753" s="15" t="s">
        <v>5150</v>
      </c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 t="str">
        <f>IFERROR(__xludf.DUMMYFUNCTION("""COMPUTED_VALUE"""),"Savara Inc  Com")</f>
        <v>Savara Inc  Com</v>
      </c>
      <c r="B754" s="12" t="str">
        <f>IFERROR(__xludf.DUMMYFUNCTION("""COMPUTED_VALUE"""),"SVRA-US")</f>
        <v>SVRA-US</v>
      </c>
      <c r="C754" s="12"/>
      <c r="D754" s="13">
        <f>IFERROR(__xludf.DUMMYFUNCTION("""COMPUTED_VALUE"""),45427.0)</f>
        <v>45427</v>
      </c>
      <c r="E754" s="13">
        <f>IFERROR(__xludf.DUMMYFUNCTION("""COMPUTED_VALUE"""),45813.0)</f>
        <v>45813</v>
      </c>
      <c r="F754" s="13">
        <f>IFERROR(__xludf.DUMMYFUNCTION("""COMPUTED_VALUE"""),45813.0)</f>
        <v>45813</v>
      </c>
      <c r="G754" s="15" t="s">
        <v>5150</v>
      </c>
      <c r="H754" s="15" t="s">
        <v>5150</v>
      </c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 t="str">
        <f>IFERROR(__xludf.DUMMYFUNCTION("""COMPUTED_VALUE"""),"Evolus Inc  Com")</f>
        <v>Evolus Inc  Com</v>
      </c>
      <c r="B755" s="12" t="str">
        <f>IFERROR(__xludf.DUMMYFUNCTION("""COMPUTED_VALUE"""),"EOLS-US")</f>
        <v>EOLS-US</v>
      </c>
      <c r="C755" s="12"/>
      <c r="D755" s="13">
        <f>IFERROR(__xludf.DUMMYFUNCTION("""COMPUTED_VALUE"""),45427.0)</f>
        <v>45427</v>
      </c>
      <c r="E755" s="13">
        <f>IFERROR(__xludf.DUMMYFUNCTION("""COMPUTED_VALUE"""),45813.0)</f>
        <v>45813</v>
      </c>
      <c r="F755" s="13">
        <f>IFERROR(__xludf.DUMMYFUNCTION("""COMPUTED_VALUE"""),45813.0)</f>
        <v>45813</v>
      </c>
      <c r="G755" s="15" t="s">
        <v>5150</v>
      </c>
      <c r="H755" s="15" t="s">
        <v>5150</v>
      </c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 t="str">
        <f>IFERROR(__xludf.DUMMYFUNCTION("""COMPUTED_VALUE"""),"Nlight Inc  Com")</f>
        <v>Nlight Inc  Com</v>
      </c>
      <c r="B756" s="12" t="str">
        <f>IFERROR(__xludf.DUMMYFUNCTION("""COMPUTED_VALUE"""),"LASR-US")</f>
        <v>LASR-US</v>
      </c>
      <c r="C756" s="12"/>
      <c r="D756" s="13">
        <f>IFERROR(__xludf.DUMMYFUNCTION("""COMPUTED_VALUE"""),45427.0)</f>
        <v>45427</v>
      </c>
      <c r="E756" s="13">
        <f>IFERROR(__xludf.DUMMYFUNCTION("""COMPUTED_VALUE"""),45818.0)</f>
        <v>45818</v>
      </c>
      <c r="F756" s="13">
        <f>IFERROR(__xludf.DUMMYFUNCTION("""COMPUTED_VALUE"""),45818.0)</f>
        <v>45818</v>
      </c>
      <c r="G756" s="15" t="s">
        <v>5150</v>
      </c>
      <c r="H756" s="15" t="s">
        <v>5150</v>
      </c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 t="str">
        <f>IFERROR(__xludf.DUMMYFUNCTION("""COMPUTED_VALUE"""),"Meridianlink Inc  Com")</f>
        <v>Meridianlink Inc  Com</v>
      </c>
      <c r="B757" s="12" t="str">
        <f>IFERROR(__xludf.DUMMYFUNCTION("""COMPUTED_VALUE"""),"MLNK-US")</f>
        <v>MLNK-US</v>
      </c>
      <c r="C757" s="12"/>
      <c r="D757" s="13">
        <f>IFERROR(__xludf.DUMMYFUNCTION("""COMPUTED_VALUE"""),45427.0)</f>
        <v>45427</v>
      </c>
      <c r="E757" s="13">
        <f>IFERROR(__xludf.DUMMYFUNCTION("""COMPUTED_VALUE"""),45813.0)</f>
        <v>45813</v>
      </c>
      <c r="F757" s="13">
        <f>IFERROR(__xludf.DUMMYFUNCTION("""COMPUTED_VALUE"""),45813.0)</f>
        <v>45813</v>
      </c>
      <c r="G757" s="15" t="s">
        <v>5150</v>
      </c>
      <c r="H757" s="15" t="s">
        <v>5150</v>
      </c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 t="str">
        <f>IFERROR(__xludf.DUMMYFUNCTION("""COMPUTED_VALUE"""),"Vaalco Energy Inc  Com")</f>
        <v>Vaalco Energy Inc  Com</v>
      </c>
      <c r="B758" s="12" t="str">
        <f>IFERROR(__xludf.DUMMYFUNCTION("""COMPUTED_VALUE"""),"EGY-US")</f>
        <v>EGY-US</v>
      </c>
      <c r="C758" s="12"/>
      <c r="D758" s="13">
        <f>IFERROR(__xludf.DUMMYFUNCTION("""COMPUTED_VALUE"""),45427.0)</f>
        <v>45427</v>
      </c>
      <c r="E758" s="13">
        <f>IFERROR(__xludf.DUMMYFUNCTION("""COMPUTED_VALUE"""),45813.0)</f>
        <v>45813</v>
      </c>
      <c r="F758" s="13">
        <f>IFERROR(__xludf.DUMMYFUNCTION("""COMPUTED_VALUE"""),45813.0)</f>
        <v>45813</v>
      </c>
      <c r="G758" s="15" t="s">
        <v>5150</v>
      </c>
      <c r="H758" s="15" t="s">
        <v>5150</v>
      </c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 t="str">
        <f>IFERROR(__xludf.DUMMYFUNCTION("""COMPUTED_VALUE"""),"Third Harmonic Bio Inc  Com")</f>
        <v>Third Harmonic Bio Inc  Com</v>
      </c>
      <c r="B759" s="12" t="str">
        <f>IFERROR(__xludf.DUMMYFUNCTION("""COMPUTED_VALUE"""),"THRD-US")</f>
        <v>THRD-US</v>
      </c>
      <c r="C759" s="12"/>
      <c r="D759" s="13">
        <f>IFERROR(__xludf.DUMMYFUNCTION("""COMPUTED_VALUE"""),45427.0)</f>
        <v>45427</v>
      </c>
      <c r="E759" s="13">
        <f>IFERROR(__xludf.DUMMYFUNCTION("""COMPUTED_VALUE"""),45813.0)</f>
        <v>45813</v>
      </c>
      <c r="F759" s="13">
        <f>IFERROR(__xludf.DUMMYFUNCTION("""COMPUTED_VALUE"""),45813.0)</f>
        <v>45813</v>
      </c>
      <c r="G759" s="15" t="s">
        <v>5150</v>
      </c>
      <c r="H759" s="15" t="s">
        <v>5150</v>
      </c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 t="str">
        <f>IFERROR(__xludf.DUMMYFUNCTION("""COMPUTED_VALUE"""),"Meiragtx Holdings Plc  Com")</f>
        <v>Meiragtx Holdings Plc  Com</v>
      </c>
      <c r="B760" s="12" t="str">
        <f>IFERROR(__xludf.DUMMYFUNCTION("""COMPUTED_VALUE"""),"MGTX-US")</f>
        <v>MGTX-US</v>
      </c>
      <c r="C760" s="12"/>
      <c r="D760" s="13">
        <f>IFERROR(__xludf.DUMMYFUNCTION("""COMPUTED_VALUE"""),45427.0)</f>
        <v>45427</v>
      </c>
      <c r="E760" s="13">
        <f>IFERROR(__xludf.DUMMYFUNCTION("""COMPUTED_VALUE"""),45820.0)</f>
        <v>45820</v>
      </c>
      <c r="F760" s="13">
        <f>IFERROR(__xludf.DUMMYFUNCTION("""COMPUTED_VALUE"""),45820.0)</f>
        <v>45820</v>
      </c>
      <c r="G760" s="15" t="s">
        <v>5150</v>
      </c>
      <c r="H760" s="15" t="s">
        <v>5150</v>
      </c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 t="str">
        <f>IFERROR(__xludf.DUMMYFUNCTION("""COMPUTED_VALUE"""),"Ooma Inc  Com")</f>
        <v>Ooma Inc  Com</v>
      </c>
      <c r="B761" s="12" t="str">
        <f>IFERROR(__xludf.DUMMYFUNCTION("""COMPUTED_VALUE"""),"OOMA-US")</f>
        <v>OOMA-US</v>
      </c>
      <c r="C761" s="12"/>
      <c r="D761" s="13">
        <f>IFERROR(__xludf.DUMMYFUNCTION("""COMPUTED_VALUE"""),45427.0)</f>
        <v>45427</v>
      </c>
      <c r="E761" s="13">
        <f>IFERROR(__xludf.DUMMYFUNCTION("""COMPUTED_VALUE"""),45813.0)</f>
        <v>45813</v>
      </c>
      <c r="F761" s="13">
        <f>IFERROR(__xludf.DUMMYFUNCTION("""COMPUTED_VALUE"""),45813.0)</f>
        <v>45813</v>
      </c>
      <c r="G761" s="15" t="s">
        <v>5150</v>
      </c>
      <c r="H761" s="15" t="s">
        <v>5150</v>
      </c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 t="str">
        <f>IFERROR(__xludf.DUMMYFUNCTION("""COMPUTED_VALUE"""),"Luxfer Holdings Plc  Com")</f>
        <v>Luxfer Holdings Plc  Com</v>
      </c>
      <c r="B762" s="12" t="str">
        <f>IFERROR(__xludf.DUMMYFUNCTION("""COMPUTED_VALUE"""),"LXFR-US")</f>
        <v>LXFR-US</v>
      </c>
      <c r="C762" s="12"/>
      <c r="D762" s="13">
        <f>IFERROR(__xludf.DUMMYFUNCTION("""COMPUTED_VALUE"""),45427.0)</f>
        <v>45427</v>
      </c>
      <c r="E762" s="13">
        <f>IFERROR(__xludf.DUMMYFUNCTION("""COMPUTED_VALUE"""),45813.0)</f>
        <v>45813</v>
      </c>
      <c r="F762" s="13">
        <f>IFERROR(__xludf.DUMMYFUNCTION("""COMPUTED_VALUE"""),45813.0)</f>
        <v>45813</v>
      </c>
      <c r="G762" s="15" t="s">
        <v>5150</v>
      </c>
      <c r="H762" s="15" t="s">
        <v>5150</v>
      </c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 t="str">
        <f>IFERROR(__xludf.DUMMYFUNCTION("""COMPUTED_VALUE"""),"Viemed Healthcare Inc  Com")</f>
        <v>Viemed Healthcare Inc  Com</v>
      </c>
      <c r="B763" s="12" t="str">
        <f>IFERROR(__xludf.DUMMYFUNCTION("""COMPUTED_VALUE"""),"VMD-US")</f>
        <v>VMD-US</v>
      </c>
      <c r="C763" s="12"/>
      <c r="D763" s="13">
        <f>IFERROR(__xludf.DUMMYFUNCTION("""COMPUTED_VALUE"""),45427.0)</f>
        <v>45427</v>
      </c>
      <c r="E763" s="13">
        <f>IFERROR(__xludf.DUMMYFUNCTION("""COMPUTED_VALUE"""),45813.0)</f>
        <v>45813</v>
      </c>
      <c r="F763" s="13">
        <f>IFERROR(__xludf.DUMMYFUNCTION("""COMPUTED_VALUE"""),45813.0)</f>
        <v>45813</v>
      </c>
      <c r="G763" s="16" t="s">
        <v>5152</v>
      </c>
      <c r="H763" s="16" t="s">
        <v>5152</v>
      </c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 t="str">
        <f>IFERROR(__xludf.DUMMYFUNCTION("""COMPUTED_VALUE"""),"Sana Biotechnology Inc  Com")</f>
        <v>Sana Biotechnology Inc  Com</v>
      </c>
      <c r="B764" s="12" t="str">
        <f>IFERROR(__xludf.DUMMYFUNCTION("""COMPUTED_VALUE"""),"SANA-US")</f>
        <v>SANA-US</v>
      </c>
      <c r="C764" s="12"/>
      <c r="D764" s="13">
        <f>IFERROR(__xludf.DUMMYFUNCTION("""COMPUTED_VALUE"""),45427.0)</f>
        <v>45427</v>
      </c>
      <c r="E764" s="13">
        <f>IFERROR(__xludf.DUMMYFUNCTION("""COMPUTED_VALUE"""),45812.0)</f>
        <v>45812</v>
      </c>
      <c r="F764" s="13">
        <f>IFERROR(__xludf.DUMMYFUNCTION("""COMPUTED_VALUE"""),45812.0)</f>
        <v>45812</v>
      </c>
      <c r="G764" s="15" t="s">
        <v>5150</v>
      </c>
      <c r="H764" s="15" t="s">
        <v>5150</v>
      </c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 t="str">
        <f>IFERROR(__xludf.DUMMYFUNCTION("""COMPUTED_VALUE"""),"Verve Therapeutics Inc  Com")</f>
        <v>Verve Therapeutics Inc  Com</v>
      </c>
      <c r="B765" s="12" t="str">
        <f>IFERROR(__xludf.DUMMYFUNCTION("""COMPUTED_VALUE"""),"VERV-US")</f>
        <v>VERV-US</v>
      </c>
      <c r="C765" s="12"/>
      <c r="D765" s="13">
        <f>IFERROR(__xludf.DUMMYFUNCTION("""COMPUTED_VALUE"""),45427.0)</f>
        <v>45427</v>
      </c>
      <c r="E765" s="13">
        <f>IFERROR(__xludf.DUMMYFUNCTION("""COMPUTED_VALUE"""),45813.0)</f>
        <v>45813</v>
      </c>
      <c r="F765" s="13">
        <f>IFERROR(__xludf.DUMMYFUNCTION("""COMPUTED_VALUE"""),45813.0)</f>
        <v>45813</v>
      </c>
      <c r="G765" s="15" t="s">
        <v>5150</v>
      </c>
      <c r="H765" s="15" t="s">
        <v>5150</v>
      </c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 t="str">
        <f>IFERROR(__xludf.DUMMYFUNCTION("""COMPUTED_VALUE"""),"Corsair Gaming Inc  Com")</f>
        <v>Corsair Gaming Inc  Com</v>
      </c>
      <c r="B766" s="12" t="str">
        <f>IFERROR(__xludf.DUMMYFUNCTION("""COMPUTED_VALUE"""),"CRSR-US")</f>
        <v>CRSR-US</v>
      </c>
      <c r="C766" s="12"/>
      <c r="D766" s="13">
        <f>IFERROR(__xludf.DUMMYFUNCTION("""COMPUTED_VALUE"""),45427.0)</f>
        <v>45427</v>
      </c>
      <c r="E766" s="13">
        <f>IFERROR(__xludf.DUMMYFUNCTION("""COMPUTED_VALUE"""),45818.0)</f>
        <v>45818</v>
      </c>
      <c r="F766" s="13">
        <f>IFERROR(__xludf.DUMMYFUNCTION("""COMPUTED_VALUE"""),45818.0)</f>
        <v>45818</v>
      </c>
      <c r="G766" s="15" t="s">
        <v>5150</v>
      </c>
      <c r="H766" s="15" t="s">
        <v>5150</v>
      </c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 t="str">
        <f>IFERROR(__xludf.DUMMYFUNCTION("""COMPUTED_VALUE"""),"Rimini Street Inc  Cl A")</f>
        <v>Rimini Street Inc  Cl A</v>
      </c>
      <c r="B767" s="12" t="str">
        <f>IFERROR(__xludf.DUMMYFUNCTION("""COMPUTED_VALUE"""),"RMNI-US")</f>
        <v>RMNI-US</v>
      </c>
      <c r="C767" s="12"/>
      <c r="D767" s="13">
        <f>IFERROR(__xludf.DUMMYFUNCTION("""COMPUTED_VALUE"""),45427.0)</f>
        <v>45427</v>
      </c>
      <c r="E767" s="13">
        <f>IFERROR(__xludf.DUMMYFUNCTION("""COMPUTED_VALUE"""),45812.0)</f>
        <v>45812</v>
      </c>
      <c r="F767" s="13">
        <f>IFERROR(__xludf.DUMMYFUNCTION("""COMPUTED_VALUE"""),45812.0)</f>
        <v>45812</v>
      </c>
      <c r="G767" s="15" t="s">
        <v>5150</v>
      </c>
      <c r="H767" s="15" t="s">
        <v>5150</v>
      </c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 t="str">
        <f>IFERROR(__xludf.DUMMYFUNCTION("""COMPUTED_VALUE"""),"Eventbrite Inc  Cl A")</f>
        <v>Eventbrite Inc  Cl A</v>
      </c>
      <c r="B768" s="12" t="str">
        <f>IFERROR(__xludf.DUMMYFUNCTION("""COMPUTED_VALUE"""),"EB-US")</f>
        <v>EB-US</v>
      </c>
      <c r="C768" s="12"/>
      <c r="D768" s="13">
        <f>IFERROR(__xludf.DUMMYFUNCTION("""COMPUTED_VALUE"""),45427.0)</f>
        <v>45427</v>
      </c>
      <c r="E768" s="13">
        <f>IFERROR(__xludf.DUMMYFUNCTION("""COMPUTED_VALUE"""),45813.0)</f>
        <v>45813</v>
      </c>
      <c r="F768" s="13">
        <f>IFERROR(__xludf.DUMMYFUNCTION("""COMPUTED_VALUE"""),45813.0)</f>
        <v>45813</v>
      </c>
      <c r="G768" s="15" t="s">
        <v>5150</v>
      </c>
      <c r="H768" s="15" t="s">
        <v>5150</v>
      </c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 t="str">
        <f>IFERROR(__xludf.DUMMYFUNCTION("""COMPUTED_VALUE"""),"Westrock Coffee Co  Com")</f>
        <v>Westrock Coffee Co  Com</v>
      </c>
      <c r="B769" s="12" t="str">
        <f>IFERROR(__xludf.DUMMYFUNCTION("""COMPUTED_VALUE"""),"WEST-US")</f>
        <v>WEST-US</v>
      </c>
      <c r="C769" s="12"/>
      <c r="D769" s="13">
        <f>IFERROR(__xludf.DUMMYFUNCTION("""COMPUTED_VALUE"""),45427.0)</f>
        <v>45427</v>
      </c>
      <c r="E769" s="13">
        <f>IFERROR(__xludf.DUMMYFUNCTION("""COMPUTED_VALUE"""),45814.0)</f>
        <v>45814</v>
      </c>
      <c r="F769" s="13">
        <f>IFERROR(__xludf.DUMMYFUNCTION("""COMPUTED_VALUE"""),45814.0)</f>
        <v>45814</v>
      </c>
      <c r="G769" s="15" t="s">
        <v>5150</v>
      </c>
      <c r="H769" s="15" t="s">
        <v>5150</v>
      </c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 t="str">
        <f>IFERROR(__xludf.DUMMYFUNCTION("""COMPUTED_VALUE"""),"Sutro Biopharma Inc  Com")</f>
        <v>Sutro Biopharma Inc  Com</v>
      </c>
      <c r="B770" s="12" t="str">
        <f>IFERROR(__xludf.DUMMYFUNCTION("""COMPUTED_VALUE"""),"STRO-US")</f>
        <v>STRO-US</v>
      </c>
      <c r="C770" s="12"/>
      <c r="D770" s="13">
        <f>IFERROR(__xludf.DUMMYFUNCTION("""COMPUTED_VALUE"""),45427.0)</f>
        <v>45427</v>
      </c>
      <c r="E770" s="13">
        <f>IFERROR(__xludf.DUMMYFUNCTION("""COMPUTED_VALUE"""),45814.0)</f>
        <v>45814</v>
      </c>
      <c r="F770" s="13">
        <f>IFERROR(__xludf.DUMMYFUNCTION("""COMPUTED_VALUE"""),45814.0)</f>
        <v>45814</v>
      </c>
      <c r="G770" s="15" t="s">
        <v>5150</v>
      </c>
      <c r="H770" s="15" t="s">
        <v>5150</v>
      </c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 t="str">
        <f>IFERROR(__xludf.DUMMYFUNCTION("""COMPUTED_VALUE"""),"Granite Point Mortgage Trust  Com")</f>
        <v>Granite Point Mortgage Trust  Com</v>
      </c>
      <c r="B771" s="12" t="str">
        <f>IFERROR(__xludf.DUMMYFUNCTION("""COMPUTED_VALUE"""),"GPMT-US")</f>
        <v>GPMT-US</v>
      </c>
      <c r="C771" s="12"/>
      <c r="D771" s="13">
        <f>IFERROR(__xludf.DUMMYFUNCTION("""COMPUTED_VALUE"""),45427.0)</f>
        <v>45427</v>
      </c>
      <c r="E771" s="13">
        <f>IFERROR(__xludf.DUMMYFUNCTION("""COMPUTED_VALUE"""),45813.0)</f>
        <v>45813</v>
      </c>
      <c r="F771" s="13">
        <f>IFERROR(__xludf.DUMMYFUNCTION("""COMPUTED_VALUE"""),45813.0)</f>
        <v>45813</v>
      </c>
      <c r="G771" s="15" t="s">
        <v>5150</v>
      </c>
      <c r="H771" s="15" t="s">
        <v>5150</v>
      </c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 t="str">
        <f>IFERROR(__xludf.DUMMYFUNCTION("""COMPUTED_VALUE"""),"Beauty Health Co  Cl A")</f>
        <v>Beauty Health Co  Cl A</v>
      </c>
      <c r="B772" s="12" t="str">
        <f>IFERROR(__xludf.DUMMYFUNCTION("""COMPUTED_VALUE"""),"SKIN-US")</f>
        <v>SKIN-US</v>
      </c>
      <c r="C772" s="12"/>
      <c r="D772" s="13">
        <f>IFERROR(__xludf.DUMMYFUNCTION("""COMPUTED_VALUE"""),45427.0)</f>
        <v>45427</v>
      </c>
      <c r="E772" s="13">
        <f>IFERROR(__xludf.DUMMYFUNCTION("""COMPUTED_VALUE"""),45820.0)</f>
        <v>45820</v>
      </c>
      <c r="F772" s="13">
        <f>IFERROR(__xludf.DUMMYFUNCTION("""COMPUTED_VALUE"""),45820.0)</f>
        <v>45820</v>
      </c>
      <c r="G772" s="15" t="s">
        <v>5150</v>
      </c>
      <c r="H772" s="15" t="s">
        <v>5150</v>
      </c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 t="str">
        <f>IFERROR(__xludf.DUMMYFUNCTION("""COMPUTED_VALUE"""),"American Vanguard Corp  Com")</f>
        <v>American Vanguard Corp  Com</v>
      </c>
      <c r="B773" s="12" t="str">
        <f>IFERROR(__xludf.DUMMYFUNCTION("""COMPUTED_VALUE"""),"AVD-US")</f>
        <v>AVD-US</v>
      </c>
      <c r="C773" s="12"/>
      <c r="D773" s="13">
        <f>IFERROR(__xludf.DUMMYFUNCTION("""COMPUTED_VALUE"""),45427.0)</f>
        <v>45427</v>
      </c>
      <c r="E773" s="13">
        <f>IFERROR(__xludf.DUMMYFUNCTION("""COMPUTED_VALUE"""),45840.0)</f>
        <v>45840</v>
      </c>
      <c r="F773" s="13">
        <f>IFERROR(__xludf.DUMMYFUNCTION("""COMPUTED_VALUE"""),45840.0)</f>
        <v>45840</v>
      </c>
      <c r="G773" s="15" t="s">
        <v>5150</v>
      </c>
      <c r="H773" s="15" t="s">
        <v>5150</v>
      </c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 t="str">
        <f>IFERROR(__xludf.DUMMYFUNCTION("""COMPUTED_VALUE"""),"Applied Therapeutics Inc  Com")</f>
        <v>Applied Therapeutics Inc  Com</v>
      </c>
      <c r="B774" s="12" t="str">
        <f>IFERROR(__xludf.DUMMYFUNCTION("""COMPUTED_VALUE"""),"APLT-US")</f>
        <v>APLT-US</v>
      </c>
      <c r="C774" s="12"/>
      <c r="D774" s="13">
        <f>IFERROR(__xludf.DUMMYFUNCTION("""COMPUTED_VALUE"""),45427.0)</f>
        <v>45427</v>
      </c>
      <c r="E774" s="13">
        <f>IFERROR(__xludf.DUMMYFUNCTION("""COMPUTED_VALUE"""),45817.0)</f>
        <v>45817</v>
      </c>
      <c r="F774" s="13">
        <f>IFERROR(__xludf.DUMMYFUNCTION("""COMPUTED_VALUE"""),45817.0)</f>
        <v>45817</v>
      </c>
      <c r="G774" s="15" t="s">
        <v>5150</v>
      </c>
      <c r="H774" s="15" t="s">
        <v>5150</v>
      </c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 t="str">
        <f>IFERROR(__xludf.DUMMYFUNCTION("""COMPUTED_VALUE"""),"Generation Bio Co  Com")</f>
        <v>Generation Bio Co  Com</v>
      </c>
      <c r="B775" s="12" t="str">
        <f>IFERROR(__xludf.DUMMYFUNCTION("""COMPUTED_VALUE"""),"GBIO-US")</f>
        <v>GBIO-US</v>
      </c>
      <c r="C775" s="12"/>
      <c r="D775" s="13">
        <f>IFERROR(__xludf.DUMMYFUNCTION("""COMPUTED_VALUE"""),45427.0)</f>
        <v>45427</v>
      </c>
      <c r="E775" s="13">
        <f>IFERROR(__xludf.DUMMYFUNCTION("""COMPUTED_VALUE"""),45812.0)</f>
        <v>45812</v>
      </c>
      <c r="F775" s="13">
        <f>IFERROR(__xludf.DUMMYFUNCTION("""COMPUTED_VALUE"""),45812.0)</f>
        <v>45812</v>
      </c>
      <c r="G775" s="15" t="s">
        <v>5150</v>
      </c>
      <c r="H775" s="15" t="s">
        <v>5150</v>
      </c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 t="str">
        <f>IFERROR(__xludf.DUMMYFUNCTION("""COMPUTED_VALUE"""),"Hillevax Inc  Com")</f>
        <v>Hillevax Inc  Com</v>
      </c>
      <c r="B776" s="12" t="str">
        <f>IFERROR(__xludf.DUMMYFUNCTION("""COMPUTED_VALUE"""),"HLVX-US")</f>
        <v>HLVX-US</v>
      </c>
      <c r="C776" s="12"/>
      <c r="D776" s="13">
        <f>IFERROR(__xludf.DUMMYFUNCTION("""COMPUTED_VALUE"""),45427.0)</f>
        <v>45427</v>
      </c>
      <c r="E776" s="13">
        <f>IFERROR(__xludf.DUMMYFUNCTION("""COMPUTED_VALUE"""),45831.0)</f>
        <v>45831</v>
      </c>
      <c r="F776" s="13">
        <f>IFERROR(__xludf.DUMMYFUNCTION("""COMPUTED_VALUE"""),45831.0)</f>
        <v>45831</v>
      </c>
      <c r="G776" s="15" t="s">
        <v>5150</v>
      </c>
      <c r="H776" s="15" t="s">
        <v>5150</v>
      </c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 t="str">
        <f>IFERROR(__xludf.DUMMYFUNCTION("""COMPUTED_VALUE"""),"Walmart Inc  Com")</f>
        <v>Walmart Inc  Com</v>
      </c>
      <c r="B777" s="12" t="str">
        <f>IFERROR(__xludf.DUMMYFUNCTION("""COMPUTED_VALUE"""),"WMT-US")</f>
        <v>WMT-US</v>
      </c>
      <c r="C777" s="12"/>
      <c r="D777" s="13">
        <f>IFERROR(__xludf.DUMMYFUNCTION("""COMPUTED_VALUE"""),45427.0)</f>
        <v>45427</v>
      </c>
      <c r="E777" s="13">
        <f>IFERROR(__xludf.DUMMYFUNCTION("""COMPUTED_VALUE"""),45813.0)</f>
        <v>45813</v>
      </c>
      <c r="F777" s="13">
        <f>IFERROR(__xludf.DUMMYFUNCTION("""COMPUTED_VALUE"""),45813.0)</f>
        <v>45813</v>
      </c>
      <c r="G777" s="15" t="s">
        <v>5150</v>
      </c>
      <c r="H777" s="15" t="s">
        <v>5150</v>
      </c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 t="str">
        <f>IFERROR(__xludf.DUMMYFUNCTION("""COMPUTED_VALUE"""),"Palantir Technologies Inc  Cl A")</f>
        <v>Palantir Technologies Inc  Cl A</v>
      </c>
      <c r="B778" s="12" t="str">
        <f>IFERROR(__xludf.DUMMYFUNCTION("""COMPUTED_VALUE"""),"PLTR-US")</f>
        <v>PLTR-US</v>
      </c>
      <c r="C778" s="12"/>
      <c r="D778" s="13">
        <f>IFERROR(__xludf.DUMMYFUNCTION("""COMPUTED_VALUE"""),45427.0)</f>
        <v>45427</v>
      </c>
      <c r="E778" s="13">
        <f>IFERROR(__xludf.DUMMYFUNCTION("""COMPUTED_VALUE"""),45813.0)</f>
        <v>45813</v>
      </c>
      <c r="F778" s="13">
        <f>IFERROR(__xludf.DUMMYFUNCTION("""COMPUTED_VALUE"""),45813.0)</f>
        <v>45813</v>
      </c>
      <c r="G778" s="15" t="s">
        <v>5150</v>
      </c>
      <c r="H778" s="15" t="s">
        <v>5150</v>
      </c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 t="str">
        <f>IFERROR(__xludf.DUMMYFUNCTION("""COMPUTED_VALUE"""),"Applovin Corp  Cl A")</f>
        <v>Applovin Corp  Cl A</v>
      </c>
      <c r="B779" s="12" t="str">
        <f>IFERROR(__xludf.DUMMYFUNCTION("""COMPUTED_VALUE"""),"APP-US")</f>
        <v>APP-US</v>
      </c>
      <c r="C779" s="12"/>
      <c r="D779" s="13">
        <f>IFERROR(__xludf.DUMMYFUNCTION("""COMPUTED_VALUE"""),45427.0)</f>
        <v>45427</v>
      </c>
      <c r="E779" s="13">
        <f>IFERROR(__xludf.DUMMYFUNCTION("""COMPUTED_VALUE"""),45812.0)</f>
        <v>45812</v>
      </c>
      <c r="F779" s="13">
        <f>IFERROR(__xludf.DUMMYFUNCTION("""COMPUTED_VALUE"""),45812.0)</f>
        <v>45812</v>
      </c>
      <c r="G779" s="15" t="s">
        <v>5150</v>
      </c>
      <c r="H779" s="15" t="s">
        <v>5150</v>
      </c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 t="str">
        <f>IFERROR(__xludf.DUMMYFUNCTION("""COMPUTED_VALUE"""),"Airbnb Inc  Cl A")</f>
        <v>Airbnb Inc  Cl A</v>
      </c>
      <c r="B780" s="12" t="str">
        <f>IFERROR(__xludf.DUMMYFUNCTION("""COMPUTED_VALUE"""),"ABNB-US")</f>
        <v>ABNB-US</v>
      </c>
      <c r="C780" s="12"/>
      <c r="D780" s="13">
        <f>IFERROR(__xludf.DUMMYFUNCTION("""COMPUTED_VALUE"""),45427.0)</f>
        <v>45427</v>
      </c>
      <c r="E780" s="13">
        <f>IFERROR(__xludf.DUMMYFUNCTION("""COMPUTED_VALUE"""),45812.0)</f>
        <v>45812</v>
      </c>
      <c r="F780" s="13">
        <f>IFERROR(__xludf.DUMMYFUNCTION("""COMPUTED_VALUE"""),45812.0)</f>
        <v>45812</v>
      </c>
      <c r="G780" s="15" t="s">
        <v>5150</v>
      </c>
      <c r="H780" s="15" t="s">
        <v>5150</v>
      </c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 t="str">
        <f>IFERROR(__xludf.DUMMYFUNCTION("""COMPUTED_VALUE"""),"Datadog Inc  Cl A")</f>
        <v>Datadog Inc  Cl A</v>
      </c>
      <c r="B781" s="12" t="str">
        <f>IFERROR(__xludf.DUMMYFUNCTION("""COMPUTED_VALUE"""),"DDOG-US")</f>
        <v>DDOG-US</v>
      </c>
      <c r="C781" s="12"/>
      <c r="D781" s="13">
        <f>IFERROR(__xludf.DUMMYFUNCTION("""COMPUTED_VALUE"""),45427.0)</f>
        <v>45427</v>
      </c>
      <c r="E781" s="13">
        <f>IFERROR(__xludf.DUMMYFUNCTION("""COMPUTED_VALUE"""),45811.0)</f>
        <v>45811</v>
      </c>
      <c r="F781" s="13">
        <f>IFERROR(__xludf.DUMMYFUNCTION("""COMPUTED_VALUE"""),45811.0)</f>
        <v>45811</v>
      </c>
      <c r="G781" s="15" t="s">
        <v>5150</v>
      </c>
      <c r="H781" s="15" t="s">
        <v>5150</v>
      </c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 t="str">
        <f>IFERROR(__xludf.DUMMYFUNCTION("""COMPUTED_VALUE"""),"Fidelity National Info Services  Com")</f>
        <v>Fidelity National Info Services  Com</v>
      </c>
      <c r="B782" s="12" t="str">
        <f>IFERROR(__xludf.DUMMYFUNCTION("""COMPUTED_VALUE"""),"FIS-US")</f>
        <v>FIS-US</v>
      </c>
      <c r="C782" s="12"/>
      <c r="D782" s="13">
        <f>IFERROR(__xludf.DUMMYFUNCTION("""COMPUTED_VALUE"""),45427.0)</f>
        <v>45427</v>
      </c>
      <c r="E782" s="13">
        <f>IFERROR(__xludf.DUMMYFUNCTION("""COMPUTED_VALUE"""),45820.0)</f>
        <v>45820</v>
      </c>
      <c r="F782" s="13">
        <f>IFERROR(__xludf.DUMMYFUNCTION("""COMPUTED_VALUE"""),45820.0)</f>
        <v>45820</v>
      </c>
      <c r="G782" s="15" t="s">
        <v>5150</v>
      </c>
      <c r="H782" s="15" t="s">
        <v>5150</v>
      </c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 t="str">
        <f>IFERROR(__xludf.DUMMYFUNCTION("""COMPUTED_VALUE"""),"Dupont De Nemours Inc  Com")</f>
        <v>Dupont De Nemours Inc  Com</v>
      </c>
      <c r="B783" s="12" t="str">
        <f>IFERROR(__xludf.DUMMYFUNCTION("""COMPUTED_VALUE"""),"DD-US")</f>
        <v>DD-US</v>
      </c>
      <c r="C783" s="12"/>
      <c r="D783" s="13">
        <f>IFERROR(__xludf.DUMMYFUNCTION("""COMPUTED_VALUE"""),45427.0)</f>
        <v>45427</v>
      </c>
      <c r="E783" s="13">
        <f>IFERROR(__xludf.DUMMYFUNCTION("""COMPUTED_VALUE"""),45799.0)</f>
        <v>45799</v>
      </c>
      <c r="F783" s="13">
        <f>IFERROR(__xludf.DUMMYFUNCTION("""COMPUTED_VALUE"""),45799.0)</f>
        <v>45799</v>
      </c>
      <c r="G783" s="15" t="s">
        <v>5150</v>
      </c>
      <c r="H783" s="15" t="s">
        <v>5150</v>
      </c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 t="str">
        <f>IFERROR(__xludf.DUMMYFUNCTION("""COMPUTED_VALUE"""),"Devon Energy Corp  Com")</f>
        <v>Devon Energy Corp  Com</v>
      </c>
      <c r="B784" s="12" t="str">
        <f>IFERROR(__xludf.DUMMYFUNCTION("""COMPUTED_VALUE"""),"DVN-US")</f>
        <v>DVN-US</v>
      </c>
      <c r="C784" s="12"/>
      <c r="D784" s="13">
        <f>IFERROR(__xludf.DUMMYFUNCTION("""COMPUTED_VALUE"""),45427.0)</f>
        <v>45427</v>
      </c>
      <c r="E784" s="13">
        <f>IFERROR(__xludf.DUMMYFUNCTION("""COMPUTED_VALUE"""),45812.0)</f>
        <v>45812</v>
      </c>
      <c r="F784" s="13">
        <f>IFERROR(__xludf.DUMMYFUNCTION("""COMPUTED_VALUE"""),45812.0)</f>
        <v>45812</v>
      </c>
      <c r="G784" s="15" t="s">
        <v>5150</v>
      </c>
      <c r="H784" s="15" t="s">
        <v>5150</v>
      </c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 t="str">
        <f>IFERROR(__xludf.DUMMYFUNCTION("""COMPUTED_VALUE"""),"American Airlines Group Inc  Com")</f>
        <v>American Airlines Group Inc  Com</v>
      </c>
      <c r="B785" s="12" t="str">
        <f>IFERROR(__xludf.DUMMYFUNCTION("""COMPUTED_VALUE"""),"AAL-US")</f>
        <v>AAL-US</v>
      </c>
      <c r="C785" s="12"/>
      <c r="D785" s="13">
        <f>IFERROR(__xludf.DUMMYFUNCTION("""COMPUTED_VALUE"""),45427.0)</f>
        <v>45427</v>
      </c>
      <c r="E785" s="13">
        <f>IFERROR(__xludf.DUMMYFUNCTION("""COMPUTED_VALUE"""),45819.0)</f>
        <v>45819</v>
      </c>
      <c r="F785" s="13">
        <f>IFERROR(__xludf.DUMMYFUNCTION("""COMPUTED_VALUE"""),45819.0)</f>
        <v>45819</v>
      </c>
      <c r="G785" s="15" t="s">
        <v>5150</v>
      </c>
      <c r="H785" s="15" t="s">
        <v>5150</v>
      </c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 t="str">
        <f>IFERROR(__xludf.DUMMYFUNCTION("""COMPUTED_VALUE"""),"Stifel Financial Corp  Com")</f>
        <v>Stifel Financial Corp  Com</v>
      </c>
      <c r="B786" s="12" t="str">
        <f>IFERROR(__xludf.DUMMYFUNCTION("""COMPUTED_VALUE"""),"SF-US")</f>
        <v>SF-US</v>
      </c>
      <c r="C786" s="12"/>
      <c r="D786" s="13">
        <f>IFERROR(__xludf.DUMMYFUNCTION("""COMPUTED_VALUE"""),45427.0)</f>
        <v>45427</v>
      </c>
      <c r="E786" s="13">
        <f>IFERROR(__xludf.DUMMYFUNCTION("""COMPUTED_VALUE"""),45812.0)</f>
        <v>45812</v>
      </c>
      <c r="F786" s="13">
        <f>IFERROR(__xludf.DUMMYFUNCTION("""COMPUTED_VALUE"""),45812.0)</f>
        <v>45812</v>
      </c>
      <c r="G786" s="15" t="s">
        <v>5150</v>
      </c>
      <c r="H786" s="15" t="s">
        <v>5150</v>
      </c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 t="str">
        <f>IFERROR(__xludf.DUMMYFUNCTION("""COMPUTED_VALUE"""),"Antero Resources Corp  Com")</f>
        <v>Antero Resources Corp  Com</v>
      </c>
      <c r="B787" s="12" t="str">
        <f>IFERROR(__xludf.DUMMYFUNCTION("""COMPUTED_VALUE"""),"AR-US")</f>
        <v>AR-US</v>
      </c>
      <c r="C787" s="12"/>
      <c r="D787" s="13">
        <f>IFERROR(__xludf.DUMMYFUNCTION("""COMPUTED_VALUE"""),45427.0)</f>
        <v>45427</v>
      </c>
      <c r="E787" s="13">
        <f>IFERROR(__xludf.DUMMYFUNCTION("""COMPUTED_VALUE"""),45812.0)</f>
        <v>45812</v>
      </c>
      <c r="F787" s="13">
        <f>IFERROR(__xludf.DUMMYFUNCTION("""COMPUTED_VALUE"""),45812.0)</f>
        <v>45812</v>
      </c>
      <c r="G787" s="15" t="s">
        <v>5150</v>
      </c>
      <c r="H787" s="15" t="s">
        <v>5150</v>
      </c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 t="str">
        <f>IFERROR(__xludf.DUMMYFUNCTION("""COMPUTED_VALUE"""),"Ionq Inc  Com")</f>
        <v>Ionq Inc  Com</v>
      </c>
      <c r="B788" s="12" t="str">
        <f>IFERROR(__xludf.DUMMYFUNCTION("""COMPUTED_VALUE"""),"IONQ-US")</f>
        <v>IONQ-US</v>
      </c>
      <c r="C788" s="12"/>
      <c r="D788" s="13">
        <f>IFERROR(__xludf.DUMMYFUNCTION("""COMPUTED_VALUE"""),45427.0)</f>
        <v>45427</v>
      </c>
      <c r="E788" s="13">
        <f>IFERROR(__xludf.DUMMYFUNCTION("""COMPUTED_VALUE"""),45825.0)</f>
        <v>45825</v>
      </c>
      <c r="F788" s="13">
        <f>IFERROR(__xludf.DUMMYFUNCTION("""COMPUTED_VALUE"""),45825.0)</f>
        <v>45825</v>
      </c>
      <c r="G788" s="15" t="s">
        <v>5150</v>
      </c>
      <c r="H788" s="15" t="s">
        <v>5150</v>
      </c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 t="str">
        <f>IFERROR(__xludf.DUMMYFUNCTION("""COMPUTED_VALUE"""),"Globus Medical Inc  Cl A")</f>
        <v>Globus Medical Inc  Cl A</v>
      </c>
      <c r="B789" s="12" t="str">
        <f>IFERROR(__xludf.DUMMYFUNCTION("""COMPUTED_VALUE"""),"GMED-US")</f>
        <v>GMED-US</v>
      </c>
      <c r="C789" s="12"/>
      <c r="D789" s="13">
        <f>IFERROR(__xludf.DUMMYFUNCTION("""COMPUTED_VALUE"""),45427.0)</f>
        <v>45427</v>
      </c>
      <c r="E789" s="13">
        <f>IFERROR(__xludf.DUMMYFUNCTION("""COMPUTED_VALUE"""),45812.0)</f>
        <v>45812</v>
      </c>
      <c r="F789" s="13">
        <f>IFERROR(__xludf.DUMMYFUNCTION("""COMPUTED_VALUE"""),45812.0)</f>
        <v>45812</v>
      </c>
      <c r="G789" s="15" t="s">
        <v>5150</v>
      </c>
      <c r="H789" s="15" t="s">
        <v>5150</v>
      </c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 t="str">
        <f>IFERROR(__xludf.DUMMYFUNCTION("""COMPUTED_VALUE"""),"Penumbra Inc  Com")</f>
        <v>Penumbra Inc  Com</v>
      </c>
      <c r="B790" s="12" t="str">
        <f>IFERROR(__xludf.DUMMYFUNCTION("""COMPUTED_VALUE"""),"PEN-US")</f>
        <v>PEN-US</v>
      </c>
      <c r="C790" s="12"/>
      <c r="D790" s="13">
        <f>IFERROR(__xludf.DUMMYFUNCTION("""COMPUTED_VALUE"""),45427.0)</f>
        <v>45427</v>
      </c>
      <c r="E790" s="13">
        <f>IFERROR(__xludf.DUMMYFUNCTION("""COMPUTED_VALUE"""),45805.0)</f>
        <v>45805</v>
      </c>
      <c r="F790" s="13">
        <f>IFERROR(__xludf.DUMMYFUNCTION("""COMPUTED_VALUE"""),45805.0)</f>
        <v>45805</v>
      </c>
      <c r="G790" s="15" t="s">
        <v>5150</v>
      </c>
      <c r="H790" s="15" t="s">
        <v>5150</v>
      </c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 t="str">
        <f>IFERROR(__xludf.DUMMYFUNCTION("""COMPUTED_VALUE"""),"Marketaxess Holdings Inc  Com")</f>
        <v>Marketaxess Holdings Inc  Com</v>
      </c>
      <c r="B791" s="12" t="str">
        <f>IFERROR(__xludf.DUMMYFUNCTION("""COMPUTED_VALUE"""),"MKTX-US")</f>
        <v>MKTX-US</v>
      </c>
      <c r="C791" s="12"/>
      <c r="D791" s="13">
        <f>IFERROR(__xludf.DUMMYFUNCTION("""COMPUTED_VALUE"""),45427.0)</f>
        <v>45427</v>
      </c>
      <c r="E791" s="13">
        <f>IFERROR(__xludf.DUMMYFUNCTION("""COMPUTED_VALUE"""),45812.0)</f>
        <v>45812</v>
      </c>
      <c r="F791" s="13">
        <f>IFERROR(__xludf.DUMMYFUNCTION("""COMPUTED_VALUE"""),45812.0)</f>
        <v>45812</v>
      </c>
      <c r="G791" s="15" t="s">
        <v>5150</v>
      </c>
      <c r="H791" s="15" t="s">
        <v>5150</v>
      </c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 t="str">
        <f>IFERROR(__xludf.DUMMYFUNCTION("""COMPUTED_VALUE"""),"Unity Software Inc  Com")</f>
        <v>Unity Software Inc  Com</v>
      </c>
      <c r="B792" s="12" t="str">
        <f>IFERROR(__xludf.DUMMYFUNCTION("""COMPUTED_VALUE"""),"U-US")</f>
        <v>U-US</v>
      </c>
      <c r="C792" s="12"/>
      <c r="D792" s="13">
        <f>IFERROR(__xludf.DUMMYFUNCTION("""COMPUTED_VALUE"""),45427.0)</f>
        <v>45427</v>
      </c>
      <c r="E792" s="13">
        <f>IFERROR(__xludf.DUMMYFUNCTION("""COMPUTED_VALUE"""),45819.0)</f>
        <v>45819</v>
      </c>
      <c r="F792" s="13">
        <f>IFERROR(__xludf.DUMMYFUNCTION("""COMPUTED_VALUE"""),45819.0)</f>
        <v>45819</v>
      </c>
      <c r="G792" s="15" t="s">
        <v>5150</v>
      </c>
      <c r="H792" s="15" t="s">
        <v>5150</v>
      </c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 t="str">
        <f>IFERROR(__xludf.DUMMYFUNCTION("""COMPUTED_VALUE"""),"Light &amp; Wonder Inc  Cl A")</f>
        <v>Light &amp; Wonder Inc  Cl A</v>
      </c>
      <c r="B793" s="12" t="str">
        <f>IFERROR(__xludf.DUMMYFUNCTION("""COMPUTED_VALUE"""),"LNW-US")</f>
        <v>LNW-US</v>
      </c>
      <c r="C793" s="12"/>
      <c r="D793" s="13">
        <f>IFERROR(__xludf.DUMMYFUNCTION("""COMPUTED_VALUE"""),45427.0)</f>
        <v>45427</v>
      </c>
      <c r="E793" s="13">
        <f>IFERROR(__xludf.DUMMYFUNCTION("""COMPUTED_VALUE"""),45818.0)</f>
        <v>45818</v>
      </c>
      <c r="F793" s="13">
        <f>IFERROR(__xludf.DUMMYFUNCTION("""COMPUTED_VALUE"""),45818.0)</f>
        <v>45818</v>
      </c>
      <c r="G793" s="15" t="s">
        <v>5150</v>
      </c>
      <c r="H793" s="15" t="s">
        <v>5150</v>
      </c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 t="str">
        <f>IFERROR(__xludf.DUMMYFUNCTION("""COMPUTED_VALUE"""),"Fti Consulting Inc  Com")</f>
        <v>Fti Consulting Inc  Com</v>
      </c>
      <c r="B794" s="12" t="str">
        <f>IFERROR(__xludf.DUMMYFUNCTION("""COMPUTED_VALUE"""),"FCN-US")</f>
        <v>FCN-US</v>
      </c>
      <c r="C794" s="12"/>
      <c r="D794" s="13">
        <f>IFERROR(__xludf.DUMMYFUNCTION("""COMPUTED_VALUE"""),45427.0)</f>
        <v>45427</v>
      </c>
      <c r="E794" s="13">
        <f>IFERROR(__xludf.DUMMYFUNCTION("""COMPUTED_VALUE"""),45813.0)</f>
        <v>45813</v>
      </c>
      <c r="F794" s="13">
        <f>IFERROR(__xludf.DUMMYFUNCTION("""COMPUTED_VALUE"""),45813.0)</f>
        <v>45813</v>
      </c>
      <c r="G794" s="15" t="s">
        <v>5150</v>
      </c>
      <c r="H794" s="15" t="s">
        <v>5150</v>
      </c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 t="str">
        <f>IFERROR(__xludf.DUMMYFUNCTION("""COMPUTED_VALUE"""),"Bright Horizons Family Solutions Com")</f>
        <v>Bright Horizons Family Solutions Com</v>
      </c>
      <c r="B795" s="12" t="str">
        <f>IFERROR(__xludf.DUMMYFUNCTION("""COMPUTED_VALUE"""),"BFAM-US")</f>
        <v>BFAM-US</v>
      </c>
      <c r="C795" s="12"/>
      <c r="D795" s="13">
        <f>IFERROR(__xludf.DUMMYFUNCTION("""COMPUTED_VALUE"""),45427.0)</f>
        <v>45427</v>
      </c>
      <c r="E795" s="13">
        <f>IFERROR(__xludf.DUMMYFUNCTION("""COMPUTED_VALUE"""),45811.0)</f>
        <v>45811</v>
      </c>
      <c r="F795" s="13">
        <f>IFERROR(__xludf.DUMMYFUNCTION("""COMPUTED_VALUE"""),45811.0)</f>
        <v>45811</v>
      </c>
      <c r="G795" s="15" t="s">
        <v>5150</v>
      </c>
      <c r="H795" s="15" t="s">
        <v>5150</v>
      </c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 t="str">
        <f>IFERROR(__xludf.DUMMYFUNCTION("""COMPUTED_VALUE"""),"Science Applications Intl Corp  Com")</f>
        <v>Science Applications Intl Corp  Com</v>
      </c>
      <c r="B796" s="12" t="str">
        <f>IFERROR(__xludf.DUMMYFUNCTION("""COMPUTED_VALUE"""),"SAIC-US")</f>
        <v>SAIC-US</v>
      </c>
      <c r="C796" s="12"/>
      <c r="D796" s="13">
        <f>IFERROR(__xludf.DUMMYFUNCTION("""COMPUTED_VALUE"""),45427.0)</f>
        <v>45427</v>
      </c>
      <c r="E796" s="13">
        <f>IFERROR(__xludf.DUMMYFUNCTION("""COMPUTED_VALUE"""),45812.0)</f>
        <v>45812</v>
      </c>
      <c r="F796" s="13">
        <f>IFERROR(__xludf.DUMMYFUNCTION("""COMPUTED_VALUE"""),45812.0)</f>
        <v>45812</v>
      </c>
      <c r="G796" s="15" t="s">
        <v>5150</v>
      </c>
      <c r="H796" s="15" t="s">
        <v>5150</v>
      </c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 t="str">
        <f>IFERROR(__xludf.DUMMYFUNCTION("""COMPUTED_VALUE"""),"Tpg Inc  Cl A")</f>
        <v>Tpg Inc  Cl A</v>
      </c>
      <c r="B797" s="12" t="str">
        <f>IFERROR(__xludf.DUMMYFUNCTION("""COMPUTED_VALUE"""),"TPG-US")</f>
        <v>TPG-US</v>
      </c>
      <c r="C797" s="12"/>
      <c r="D797" s="13">
        <f>IFERROR(__xludf.DUMMYFUNCTION("""COMPUTED_VALUE"""),45427.0)</f>
        <v>45427</v>
      </c>
      <c r="E797" s="13">
        <f>IFERROR(__xludf.DUMMYFUNCTION("""COMPUTED_VALUE"""),45813.0)</f>
        <v>45813</v>
      </c>
      <c r="F797" s="13">
        <f>IFERROR(__xludf.DUMMYFUNCTION("""COMPUTED_VALUE"""),45813.0)</f>
        <v>45813</v>
      </c>
      <c r="G797" s="15" t="s">
        <v>5150</v>
      </c>
      <c r="H797" s="15" t="s">
        <v>5150</v>
      </c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 t="str">
        <f>IFERROR(__xludf.DUMMYFUNCTION("""COMPUTED_VALUE"""),"Antero Midstream Corp  Com")</f>
        <v>Antero Midstream Corp  Com</v>
      </c>
      <c r="B798" s="12" t="str">
        <f>IFERROR(__xludf.DUMMYFUNCTION("""COMPUTED_VALUE"""),"AM-US")</f>
        <v>AM-US</v>
      </c>
      <c r="C798" s="12"/>
      <c r="D798" s="13">
        <f>IFERROR(__xludf.DUMMYFUNCTION("""COMPUTED_VALUE"""),45427.0)</f>
        <v>45427</v>
      </c>
      <c r="E798" s="13">
        <f>IFERROR(__xludf.DUMMYFUNCTION("""COMPUTED_VALUE"""),45812.0)</f>
        <v>45812</v>
      </c>
      <c r="F798" s="13">
        <f>IFERROR(__xludf.DUMMYFUNCTION("""COMPUTED_VALUE"""),45812.0)</f>
        <v>45812</v>
      </c>
      <c r="G798" s="15" t="s">
        <v>5150</v>
      </c>
      <c r="H798" s="15" t="s">
        <v>5150</v>
      </c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 t="str">
        <f>IFERROR(__xludf.DUMMYFUNCTION("""COMPUTED_VALUE"""),"Interdigital Inc  Com")</f>
        <v>Interdigital Inc  Com</v>
      </c>
      <c r="B799" s="12" t="str">
        <f>IFERROR(__xludf.DUMMYFUNCTION("""COMPUTED_VALUE"""),"IDCC-US")</f>
        <v>IDCC-US</v>
      </c>
      <c r="C799" s="12"/>
      <c r="D799" s="13">
        <f>IFERROR(__xludf.DUMMYFUNCTION("""COMPUTED_VALUE"""),45427.0)</f>
        <v>45427</v>
      </c>
      <c r="E799" s="13">
        <f>IFERROR(__xludf.DUMMYFUNCTION("""COMPUTED_VALUE"""),45819.0)</f>
        <v>45819</v>
      </c>
      <c r="F799" s="13">
        <f>IFERROR(__xludf.DUMMYFUNCTION("""COMPUTED_VALUE"""),45819.0)</f>
        <v>45819</v>
      </c>
      <c r="G799" s="15" t="s">
        <v>5150</v>
      </c>
      <c r="H799" s="15" t="s">
        <v>5150</v>
      </c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 t="str">
        <f>IFERROR(__xludf.DUMMYFUNCTION("""COMPUTED_VALUE"""),"Urban Outfitters Inc  Com")</f>
        <v>Urban Outfitters Inc  Com</v>
      </c>
      <c r="B800" s="12" t="str">
        <f>IFERROR(__xludf.DUMMYFUNCTION("""COMPUTED_VALUE"""),"URBN-US")</f>
        <v>URBN-US</v>
      </c>
      <c r="C800" s="12"/>
      <c r="D800" s="13">
        <f>IFERROR(__xludf.DUMMYFUNCTION("""COMPUTED_VALUE"""),45427.0)</f>
        <v>45427</v>
      </c>
      <c r="E800" s="13">
        <f>IFERROR(__xludf.DUMMYFUNCTION("""COMPUTED_VALUE"""),45812.0)</f>
        <v>45812</v>
      </c>
      <c r="F800" s="13">
        <f>IFERROR(__xludf.DUMMYFUNCTION("""COMPUTED_VALUE"""),45812.0)</f>
        <v>45812</v>
      </c>
      <c r="G800" s="16" t="s">
        <v>5150</v>
      </c>
      <c r="H800" s="16" t="s">
        <v>5150</v>
      </c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 t="str">
        <f>IFERROR(__xludf.DUMMYFUNCTION("""COMPUTED_VALUE"""),"Granite Construction Inc  Com")</f>
        <v>Granite Construction Inc  Com</v>
      </c>
      <c r="B801" s="12" t="str">
        <f>IFERROR(__xludf.DUMMYFUNCTION("""COMPUTED_VALUE"""),"GVA-US")</f>
        <v>GVA-US</v>
      </c>
      <c r="C801" s="12"/>
      <c r="D801" s="13">
        <f>IFERROR(__xludf.DUMMYFUNCTION("""COMPUTED_VALUE"""),45427.0)</f>
        <v>45427</v>
      </c>
      <c r="E801" s="13">
        <f>IFERROR(__xludf.DUMMYFUNCTION("""COMPUTED_VALUE"""),45813.0)</f>
        <v>45813</v>
      </c>
      <c r="F801" s="13">
        <f>IFERROR(__xludf.DUMMYFUNCTION("""COMPUTED_VALUE"""),45813.0)</f>
        <v>45813</v>
      </c>
      <c r="G801" s="16" t="s">
        <v>5150</v>
      </c>
      <c r="H801" s="16" t="s">
        <v>5150</v>
      </c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 t="str">
        <f>IFERROR(__xludf.DUMMYFUNCTION("""COMPUTED_VALUE"""),"Cargurus Inc  Cl A")</f>
        <v>Cargurus Inc  Cl A</v>
      </c>
      <c r="B802" s="12" t="str">
        <f>IFERROR(__xludf.DUMMYFUNCTION("""COMPUTED_VALUE"""),"CARG-US")</f>
        <v>CARG-US</v>
      </c>
      <c r="C802" s="12"/>
      <c r="D802" s="13">
        <f>IFERROR(__xludf.DUMMYFUNCTION("""COMPUTED_VALUE"""),45427.0)</f>
        <v>45427</v>
      </c>
      <c r="E802" s="13">
        <f>IFERROR(__xludf.DUMMYFUNCTION("""COMPUTED_VALUE"""),45812.0)</f>
        <v>45812</v>
      </c>
      <c r="F802" s="13">
        <f>IFERROR(__xludf.DUMMYFUNCTION("""COMPUTED_VALUE"""),45812.0)</f>
        <v>45812</v>
      </c>
      <c r="G802" s="16" t="s">
        <v>5150</v>
      </c>
      <c r="H802" s="16" t="s">
        <v>5150</v>
      </c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 t="str">
        <f>IFERROR(__xludf.DUMMYFUNCTION("""COMPUTED_VALUE"""),"Apellis Pharmaceuticals Inc  Com")</f>
        <v>Apellis Pharmaceuticals Inc  Com</v>
      </c>
      <c r="B803" s="12" t="str">
        <f>IFERROR(__xludf.DUMMYFUNCTION("""COMPUTED_VALUE"""),"APLS-US")</f>
        <v>APLS-US</v>
      </c>
      <c r="C803" s="12"/>
      <c r="D803" s="13">
        <f>IFERROR(__xludf.DUMMYFUNCTION("""COMPUTED_VALUE"""),45427.0)</f>
        <v>45427</v>
      </c>
      <c r="E803" s="13">
        <f>IFERROR(__xludf.DUMMYFUNCTION("""COMPUTED_VALUE"""),45811.0)</f>
        <v>45811</v>
      </c>
      <c r="F803" s="13">
        <f>IFERROR(__xludf.DUMMYFUNCTION("""COMPUTED_VALUE"""),45811.0)</f>
        <v>45811</v>
      </c>
      <c r="G803" s="16" t="s">
        <v>5150</v>
      </c>
      <c r="H803" s="16" t="s">
        <v>5150</v>
      </c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 t="str">
        <f>IFERROR(__xludf.DUMMYFUNCTION("""COMPUTED_VALUE"""),"Resideo Technologies Inc  Com")</f>
        <v>Resideo Technologies Inc  Com</v>
      </c>
      <c r="B804" s="12" t="str">
        <f>IFERROR(__xludf.DUMMYFUNCTION("""COMPUTED_VALUE"""),"REZI-US")</f>
        <v>REZI-US</v>
      </c>
      <c r="C804" s="12"/>
      <c r="D804" s="13">
        <f>IFERROR(__xludf.DUMMYFUNCTION("""COMPUTED_VALUE"""),45427.0)</f>
        <v>45427</v>
      </c>
      <c r="E804" s="13">
        <f>IFERROR(__xludf.DUMMYFUNCTION("""COMPUTED_VALUE"""),45812.0)</f>
        <v>45812</v>
      </c>
      <c r="F804" s="13">
        <f>IFERROR(__xludf.DUMMYFUNCTION("""COMPUTED_VALUE"""),45812.0)</f>
        <v>45812</v>
      </c>
      <c r="G804" s="16" t="s">
        <v>5150</v>
      </c>
      <c r="H804" s="16" t="s">
        <v>5150</v>
      </c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 t="str">
        <f>IFERROR(__xludf.DUMMYFUNCTION("""COMPUTED_VALUE"""),"Credit Acceptance Corp (Mich)  Com")</f>
        <v>Credit Acceptance Corp (Mich)  Com</v>
      </c>
      <c r="B805" s="12" t="str">
        <f>IFERROR(__xludf.DUMMYFUNCTION("""COMPUTED_VALUE"""),"CACC-US")</f>
        <v>CACC-US</v>
      </c>
      <c r="C805" s="12"/>
      <c r="D805" s="13">
        <f>IFERROR(__xludf.DUMMYFUNCTION("""COMPUTED_VALUE"""),45427.0)</f>
        <v>45427</v>
      </c>
      <c r="E805" s="13">
        <f>IFERROR(__xludf.DUMMYFUNCTION("""COMPUTED_VALUE"""),45812.0)</f>
        <v>45812</v>
      </c>
      <c r="F805" s="13">
        <f>IFERROR(__xludf.DUMMYFUNCTION("""COMPUTED_VALUE"""),45812.0)</f>
        <v>45812</v>
      </c>
      <c r="G805" s="16" t="s">
        <v>5150</v>
      </c>
      <c r="H805" s="16" t="s">
        <v>5150</v>
      </c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 t="str">
        <f>IFERROR(__xludf.DUMMYFUNCTION("""COMPUTED_VALUE"""),"Alarm Com Holdings Inc  Com")</f>
        <v>Alarm Com Holdings Inc  Com</v>
      </c>
      <c r="B806" s="12" t="str">
        <f>IFERROR(__xludf.DUMMYFUNCTION("""COMPUTED_VALUE"""),"ALRM-US")</f>
        <v>ALRM-US</v>
      </c>
      <c r="C806" s="12"/>
      <c r="D806" s="13">
        <f>IFERROR(__xludf.DUMMYFUNCTION("""COMPUTED_VALUE"""),45427.0)</f>
        <v>45427</v>
      </c>
      <c r="E806" s="13">
        <f>IFERROR(__xludf.DUMMYFUNCTION("""COMPUTED_VALUE"""),45812.0)</f>
        <v>45812</v>
      </c>
      <c r="F806" s="13">
        <f>IFERROR(__xludf.DUMMYFUNCTION("""COMPUTED_VALUE"""),45812.0)</f>
        <v>45812</v>
      </c>
      <c r="G806" s="16" t="s">
        <v>5150</v>
      </c>
      <c r="H806" s="16" t="s">
        <v>5150</v>
      </c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 t="str">
        <f>IFERROR(__xludf.DUMMYFUNCTION("""COMPUTED_VALUE"""),"Pennymac Financial Services Inc  Com")</f>
        <v>Pennymac Financial Services Inc  Com</v>
      </c>
      <c r="B807" s="12" t="str">
        <f>IFERROR(__xludf.DUMMYFUNCTION("""COMPUTED_VALUE"""),"PFSI-US")</f>
        <v>PFSI-US</v>
      </c>
      <c r="C807" s="12"/>
      <c r="D807" s="13">
        <f>IFERROR(__xludf.DUMMYFUNCTION("""COMPUTED_VALUE"""),45427.0)</f>
        <v>45427</v>
      </c>
      <c r="E807" s="13">
        <f>IFERROR(__xludf.DUMMYFUNCTION("""COMPUTED_VALUE"""),45826.0)</f>
        <v>45826</v>
      </c>
      <c r="F807" s="13">
        <f>IFERROR(__xludf.DUMMYFUNCTION("""COMPUTED_VALUE"""),45826.0)</f>
        <v>45826</v>
      </c>
      <c r="G807" s="16" t="s">
        <v>5150</v>
      </c>
      <c r="H807" s="16" t="s">
        <v>5150</v>
      </c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 t="str">
        <f>IFERROR(__xludf.DUMMYFUNCTION("""COMPUTED_VALUE"""),"Compass Inc  Cl A")</f>
        <v>Compass Inc  Cl A</v>
      </c>
      <c r="B808" s="12" t="str">
        <f>IFERROR(__xludf.DUMMYFUNCTION("""COMPUTED_VALUE"""),"COMP.EQ-US")</f>
        <v>COMP.EQ-US</v>
      </c>
      <c r="C808" s="12"/>
      <c r="D808" s="13">
        <f>IFERROR(__xludf.DUMMYFUNCTION("""COMPUTED_VALUE"""),45427.0)</f>
        <v>45427</v>
      </c>
      <c r="E808" s="13">
        <f>IFERROR(__xludf.DUMMYFUNCTION("""COMPUTED_VALUE"""),45799.0)</f>
        <v>45799</v>
      </c>
      <c r="F808" s="13">
        <f>IFERROR(__xludf.DUMMYFUNCTION("""COMPUTED_VALUE"""),45799.0)</f>
        <v>45799</v>
      </c>
      <c r="G808" s="16" t="s">
        <v>5150</v>
      </c>
      <c r="H808" s="16" t="s">
        <v>5150</v>
      </c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 t="str">
        <f>IFERROR(__xludf.DUMMYFUNCTION("""COMPUTED_VALUE"""),"Plug Power Inc  Com")</f>
        <v>Plug Power Inc  Com</v>
      </c>
      <c r="B809" s="12" t="str">
        <f>IFERROR(__xludf.DUMMYFUNCTION("""COMPUTED_VALUE"""),"PLUG-US")</f>
        <v>PLUG-US</v>
      </c>
      <c r="C809" s="12"/>
      <c r="D809" s="13">
        <f>IFERROR(__xludf.DUMMYFUNCTION("""COMPUTED_VALUE"""),45427.0)</f>
        <v>45427</v>
      </c>
      <c r="E809" s="13">
        <f>IFERROR(__xludf.DUMMYFUNCTION("""COMPUTED_VALUE"""),45841.0)</f>
        <v>45841</v>
      </c>
      <c r="F809" s="13">
        <f>IFERROR(__xludf.DUMMYFUNCTION("""COMPUTED_VALUE"""),45841.0)</f>
        <v>45841</v>
      </c>
      <c r="G809" s="16" t="s">
        <v>5150</v>
      </c>
      <c r="H809" s="16" t="s">
        <v>5150</v>
      </c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 t="str">
        <f>IFERROR(__xludf.DUMMYFUNCTION("""COMPUTED_VALUE"""),"Baldwin Insurance Group Inc  Cl A")</f>
        <v>Baldwin Insurance Group Inc  Cl A</v>
      </c>
      <c r="B810" s="12" t="str">
        <f>IFERROR(__xludf.DUMMYFUNCTION("""COMPUTED_VALUE"""),"BWIN-US")</f>
        <v>BWIN-US</v>
      </c>
      <c r="C810" s="12"/>
      <c r="D810" s="13">
        <f>IFERROR(__xludf.DUMMYFUNCTION("""COMPUTED_VALUE"""),45427.0)</f>
        <v>45427</v>
      </c>
      <c r="E810" s="13">
        <f>IFERROR(__xludf.DUMMYFUNCTION("""COMPUTED_VALUE"""),45813.0)</f>
        <v>45813</v>
      </c>
      <c r="F810" s="13">
        <f>IFERROR(__xludf.DUMMYFUNCTION("""COMPUTED_VALUE"""),45813.0)</f>
        <v>45813</v>
      </c>
      <c r="G810" s="16" t="s">
        <v>5150</v>
      </c>
      <c r="H810" s="16" t="s">
        <v>5150</v>
      </c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 t="str">
        <f>IFERROR(__xludf.DUMMYFUNCTION("""COMPUTED_VALUE"""),"Flagstar Financial Inc  Com")</f>
        <v>Flagstar Financial Inc  Com</v>
      </c>
      <c r="B811" s="12" t="str">
        <f>IFERROR(__xludf.DUMMYFUNCTION("""COMPUTED_VALUE"""),"FLG-US")</f>
        <v>FLG-US</v>
      </c>
      <c r="C811" s="12"/>
      <c r="D811" s="13">
        <f>IFERROR(__xludf.DUMMYFUNCTION("""COMPUTED_VALUE"""),45427.0)</f>
        <v>45427</v>
      </c>
      <c r="E811" s="13">
        <f>IFERROR(__xludf.DUMMYFUNCTION("""COMPUTED_VALUE"""),45812.0)</f>
        <v>45812</v>
      </c>
      <c r="F811" s="13">
        <f>IFERROR(__xludf.DUMMYFUNCTION("""COMPUTED_VALUE"""),45812.0)</f>
        <v>45812</v>
      </c>
      <c r="G811" s="16" t="s">
        <v>5151</v>
      </c>
      <c r="H811" s="16" t="s">
        <v>5151</v>
      </c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 t="str">
        <f>IFERROR(__xludf.DUMMYFUNCTION("""COMPUTED_VALUE"""),"Beam Therapeutics Inc  Com")</f>
        <v>Beam Therapeutics Inc  Com</v>
      </c>
      <c r="B812" s="12" t="str">
        <f>IFERROR(__xludf.DUMMYFUNCTION("""COMPUTED_VALUE"""),"BEAM-US")</f>
        <v>BEAM-US</v>
      </c>
      <c r="C812" s="12"/>
      <c r="D812" s="13">
        <f>IFERROR(__xludf.DUMMYFUNCTION("""COMPUTED_VALUE"""),45427.0)</f>
        <v>45427</v>
      </c>
      <c r="E812" s="13">
        <f>IFERROR(__xludf.DUMMYFUNCTION("""COMPUTED_VALUE"""),45812.0)</f>
        <v>45812</v>
      </c>
      <c r="F812" s="13">
        <f>IFERROR(__xludf.DUMMYFUNCTION("""COMPUTED_VALUE"""),45812.0)</f>
        <v>45812</v>
      </c>
      <c r="G812" s="16" t="s">
        <v>5150</v>
      </c>
      <c r="H812" s="16" t="s">
        <v>5150</v>
      </c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 t="str">
        <f>IFERROR(__xludf.DUMMYFUNCTION("""COMPUTED_VALUE"""),"Lemonade Inc  Com")</f>
        <v>Lemonade Inc  Com</v>
      </c>
      <c r="B813" s="12" t="str">
        <f>IFERROR(__xludf.DUMMYFUNCTION("""COMPUTED_VALUE"""),"LMND-US")</f>
        <v>LMND-US</v>
      </c>
      <c r="C813" s="12"/>
      <c r="D813" s="13">
        <f>IFERROR(__xludf.DUMMYFUNCTION("""COMPUTED_VALUE"""),45427.0)</f>
        <v>45427</v>
      </c>
      <c r="E813" s="13">
        <f>IFERROR(__xludf.DUMMYFUNCTION("""COMPUTED_VALUE"""),45812.0)</f>
        <v>45812</v>
      </c>
      <c r="F813" s="13">
        <f>IFERROR(__xludf.DUMMYFUNCTION("""COMPUTED_VALUE"""),45812.0)</f>
        <v>45812</v>
      </c>
      <c r="G813" s="16" t="s">
        <v>5150</v>
      </c>
      <c r="H813" s="16" t="s">
        <v>5150</v>
      </c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 t="str">
        <f>IFERROR(__xludf.DUMMYFUNCTION("""COMPUTED_VALUE"""),"Apogee Therapeutics Inc  Com")</f>
        <v>Apogee Therapeutics Inc  Com</v>
      </c>
      <c r="B814" s="12" t="str">
        <f>IFERROR(__xludf.DUMMYFUNCTION("""COMPUTED_VALUE"""),"APGE-US")</f>
        <v>APGE-US</v>
      </c>
      <c r="C814" s="12"/>
      <c r="D814" s="13">
        <f>IFERROR(__xludf.DUMMYFUNCTION("""COMPUTED_VALUE"""),45427.0)</f>
        <v>45427</v>
      </c>
      <c r="E814" s="13">
        <f>IFERROR(__xludf.DUMMYFUNCTION("""COMPUTED_VALUE"""),45825.0)</f>
        <v>45825</v>
      </c>
      <c r="F814" s="13">
        <f>IFERROR(__xludf.DUMMYFUNCTION("""COMPUTED_VALUE"""),45825.0)</f>
        <v>45825</v>
      </c>
      <c r="G814" s="16" t="s">
        <v>5150</v>
      </c>
      <c r="H814" s="16" t="s">
        <v>5150</v>
      </c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 t="str">
        <f>IFERROR(__xludf.DUMMYFUNCTION("""COMPUTED_VALUE"""),"Onespaworld Holdings Ltd  Com")</f>
        <v>Onespaworld Holdings Ltd  Com</v>
      </c>
      <c r="B815" s="12" t="str">
        <f>IFERROR(__xludf.DUMMYFUNCTION("""COMPUTED_VALUE"""),"OSW-US")</f>
        <v>OSW-US</v>
      </c>
      <c r="C815" s="12"/>
      <c r="D815" s="13">
        <f>IFERROR(__xludf.DUMMYFUNCTION("""COMPUTED_VALUE"""),45427.0)</f>
        <v>45427</v>
      </c>
      <c r="E815" s="13">
        <f>IFERROR(__xludf.DUMMYFUNCTION("""COMPUTED_VALUE"""),45817.0)</f>
        <v>45817</v>
      </c>
      <c r="F815" s="13">
        <f>IFERROR(__xludf.DUMMYFUNCTION("""COMPUTED_VALUE"""),45817.0)</f>
        <v>45817</v>
      </c>
      <c r="G815" s="16" t="s">
        <v>5150</v>
      </c>
      <c r="H815" s="16" t="s">
        <v>5150</v>
      </c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 t="str">
        <f>IFERROR(__xludf.DUMMYFUNCTION("""COMPUTED_VALUE"""),"Masterbrand Inc  Com")</f>
        <v>Masterbrand Inc  Com</v>
      </c>
      <c r="B816" s="12" t="str">
        <f>IFERROR(__xludf.DUMMYFUNCTION("""COMPUTED_VALUE"""),"MBC-US")</f>
        <v>MBC-US</v>
      </c>
      <c r="C816" s="12"/>
      <c r="D816" s="13">
        <f>IFERROR(__xludf.DUMMYFUNCTION("""COMPUTED_VALUE"""),45427.0)</f>
        <v>45427</v>
      </c>
      <c r="E816" s="13">
        <f>IFERROR(__xludf.DUMMYFUNCTION("""COMPUTED_VALUE"""),45813.0)</f>
        <v>45813</v>
      </c>
      <c r="F816" s="13">
        <f>IFERROR(__xludf.DUMMYFUNCTION("""COMPUTED_VALUE"""),45813.0)</f>
        <v>45813</v>
      </c>
      <c r="G816" s="16" t="s">
        <v>5150</v>
      </c>
      <c r="H816" s="16" t="s">
        <v>5150</v>
      </c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 t="str">
        <f>IFERROR(__xludf.DUMMYFUNCTION("""COMPUTED_VALUE"""),"Ufp Technologies Inc  Com")</f>
        <v>Ufp Technologies Inc  Com</v>
      </c>
      <c r="B817" s="12" t="str">
        <f>IFERROR(__xludf.DUMMYFUNCTION("""COMPUTED_VALUE"""),"UFPT-US")</f>
        <v>UFPT-US</v>
      </c>
      <c r="C817" s="12"/>
      <c r="D817" s="13">
        <f>IFERROR(__xludf.DUMMYFUNCTION("""COMPUTED_VALUE"""),45427.0)</f>
        <v>45427</v>
      </c>
      <c r="E817" s="13">
        <f>IFERROR(__xludf.DUMMYFUNCTION("""COMPUTED_VALUE"""),45812.0)</f>
        <v>45812</v>
      </c>
      <c r="F817" s="13">
        <f>IFERROR(__xludf.DUMMYFUNCTION("""COMPUTED_VALUE"""),45812.0)</f>
        <v>45812</v>
      </c>
      <c r="G817" s="16" t="s">
        <v>5150</v>
      </c>
      <c r="H817" s="16" t="s">
        <v>5150</v>
      </c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 t="str">
        <f>IFERROR(__xludf.DUMMYFUNCTION("""COMPUTED_VALUE"""),"Trupanion Inc  Com")</f>
        <v>Trupanion Inc  Com</v>
      </c>
      <c r="B818" s="12" t="str">
        <f>IFERROR(__xludf.DUMMYFUNCTION("""COMPUTED_VALUE"""),"TRUP-US")</f>
        <v>TRUP-US</v>
      </c>
      <c r="C818" s="12"/>
      <c r="D818" s="13">
        <f>IFERROR(__xludf.DUMMYFUNCTION("""COMPUTED_VALUE"""),45427.0)</f>
        <v>45427</v>
      </c>
      <c r="E818" s="13">
        <f>IFERROR(__xludf.DUMMYFUNCTION("""COMPUTED_VALUE"""),45819.0)</f>
        <v>45819</v>
      </c>
      <c r="F818" s="13">
        <f>IFERROR(__xludf.DUMMYFUNCTION("""COMPUTED_VALUE"""),45819.0)</f>
        <v>45819</v>
      </c>
      <c r="G818" s="16" t="s">
        <v>5150</v>
      </c>
      <c r="H818" s="16" t="s">
        <v>5150</v>
      </c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 t="str">
        <f>IFERROR(__xludf.DUMMYFUNCTION("""COMPUTED_VALUE"""),"Mirum Pharmaceuticals Inc  Com")</f>
        <v>Mirum Pharmaceuticals Inc  Com</v>
      </c>
      <c r="B819" s="12" t="str">
        <f>IFERROR(__xludf.DUMMYFUNCTION("""COMPUTED_VALUE"""),"MIRM-US")</f>
        <v>MIRM-US</v>
      </c>
      <c r="C819" s="12"/>
      <c r="D819" s="13">
        <f>IFERROR(__xludf.DUMMYFUNCTION("""COMPUTED_VALUE"""),45427.0)</f>
        <v>45427</v>
      </c>
      <c r="E819" s="13">
        <f>IFERROR(__xludf.DUMMYFUNCTION("""COMPUTED_VALUE"""),45806.0)</f>
        <v>45806</v>
      </c>
      <c r="F819" s="13">
        <f>IFERROR(__xludf.DUMMYFUNCTION("""COMPUTED_VALUE"""),45806.0)</f>
        <v>45806</v>
      </c>
      <c r="G819" s="16" t="s">
        <v>5150</v>
      </c>
      <c r="H819" s="16" t="s">
        <v>5150</v>
      </c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 t="str">
        <f>IFERROR(__xludf.DUMMYFUNCTION("""COMPUTED_VALUE"""),"Innodata Inc  Com")</f>
        <v>Innodata Inc  Com</v>
      </c>
      <c r="B820" s="12" t="str">
        <f>IFERROR(__xludf.DUMMYFUNCTION("""COMPUTED_VALUE"""),"INOD-US")</f>
        <v>INOD-US</v>
      </c>
      <c r="C820" s="12"/>
      <c r="D820" s="13">
        <f>IFERROR(__xludf.DUMMYFUNCTION("""COMPUTED_VALUE"""),45427.0)</f>
        <v>45427</v>
      </c>
      <c r="E820" s="13">
        <f>IFERROR(__xludf.DUMMYFUNCTION("""COMPUTED_VALUE"""),45813.0)</f>
        <v>45813</v>
      </c>
      <c r="F820" s="13">
        <f>IFERROR(__xludf.DUMMYFUNCTION("""COMPUTED_VALUE"""),45813.0)</f>
        <v>45813</v>
      </c>
      <c r="G820" s="16" t="s">
        <v>5150</v>
      </c>
      <c r="H820" s="16" t="s">
        <v>5150</v>
      </c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 t="str">
        <f>IFERROR(__xludf.DUMMYFUNCTION("""COMPUTED_VALUE"""),"Praxis Precision Medicines Inc  Com")</f>
        <v>Praxis Precision Medicines Inc  Com</v>
      </c>
      <c r="B821" s="12" t="str">
        <f>IFERROR(__xludf.DUMMYFUNCTION("""COMPUTED_VALUE"""),"PRAX-US")</f>
        <v>PRAX-US</v>
      </c>
      <c r="C821" s="12"/>
      <c r="D821" s="13">
        <f>IFERROR(__xludf.DUMMYFUNCTION("""COMPUTED_VALUE"""),45062.0)</f>
        <v>45062</v>
      </c>
      <c r="E821" s="13">
        <f>IFERROR(__xludf.DUMMYFUNCTION("""COMPUTED_VALUE"""),45834.0)</f>
        <v>45834</v>
      </c>
      <c r="F821" s="13">
        <f>IFERROR(__xludf.DUMMYFUNCTION("""COMPUTED_VALUE"""),45834.0)</f>
        <v>45834</v>
      </c>
      <c r="G821" s="16" t="s">
        <v>5150</v>
      </c>
      <c r="H821" s="16" t="s">
        <v>5150</v>
      </c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 t="str">
        <f>IFERROR(__xludf.DUMMYFUNCTION("""COMPUTED_VALUE"""),"Cars Com Inc  Com")</f>
        <v>Cars Com Inc  Com</v>
      </c>
      <c r="B822" s="12" t="str">
        <f>IFERROR(__xludf.DUMMYFUNCTION("""COMPUTED_VALUE"""),"CARS-US")</f>
        <v>CARS-US</v>
      </c>
      <c r="C822" s="12"/>
      <c r="D822" s="13">
        <f>IFERROR(__xludf.DUMMYFUNCTION("""COMPUTED_VALUE"""),45428.0)</f>
        <v>45428</v>
      </c>
      <c r="E822" s="13">
        <f>IFERROR(__xludf.DUMMYFUNCTION("""COMPUTED_VALUE"""),45812.0)</f>
        <v>45812</v>
      </c>
      <c r="F822" s="13">
        <f>IFERROR(__xludf.DUMMYFUNCTION("""COMPUTED_VALUE"""),45812.0)</f>
        <v>45812</v>
      </c>
      <c r="G822" s="16" t="s">
        <v>5150</v>
      </c>
      <c r="H822" s="16" t="s">
        <v>5150</v>
      </c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 t="str">
        <f>IFERROR(__xludf.DUMMYFUNCTION("""COMPUTED_VALUE"""),"Cohu Inc  Com")</f>
        <v>Cohu Inc  Com</v>
      </c>
      <c r="B823" s="12" t="str">
        <f>IFERROR(__xludf.DUMMYFUNCTION("""COMPUTED_VALUE"""),"COHU-US")</f>
        <v>COHU-US</v>
      </c>
      <c r="C823" s="12"/>
      <c r="D823" s="13">
        <f>IFERROR(__xludf.DUMMYFUNCTION("""COMPUTED_VALUE"""),45428.0)</f>
        <v>45428</v>
      </c>
      <c r="E823" s="13">
        <f>IFERROR(__xludf.DUMMYFUNCTION("""COMPUTED_VALUE"""),45793.0)</f>
        <v>45793</v>
      </c>
      <c r="F823" s="13">
        <f>IFERROR(__xludf.DUMMYFUNCTION("""COMPUTED_VALUE"""),45793.0)</f>
        <v>45793</v>
      </c>
      <c r="G823" s="16" t="s">
        <v>5150</v>
      </c>
      <c r="H823" s="16" t="s">
        <v>5150</v>
      </c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 t="str">
        <f>IFERROR(__xludf.DUMMYFUNCTION("""COMPUTED_VALUE"""),"Global Business Travel Grp Inc  Cl A")</f>
        <v>Global Business Travel Grp Inc  Cl A</v>
      </c>
      <c r="B824" s="12" t="str">
        <f>IFERROR(__xludf.DUMMYFUNCTION("""COMPUTED_VALUE"""),"GBTG-US")</f>
        <v>GBTG-US</v>
      </c>
      <c r="C824" s="12"/>
      <c r="D824" s="13">
        <f>IFERROR(__xludf.DUMMYFUNCTION("""COMPUTED_VALUE"""),45428.0)</f>
        <v>45428</v>
      </c>
      <c r="E824" s="13">
        <f>IFERROR(__xludf.DUMMYFUNCTION("""COMPUTED_VALUE"""),45819.0)</f>
        <v>45819</v>
      </c>
      <c r="F824" s="13">
        <f>IFERROR(__xludf.DUMMYFUNCTION("""COMPUTED_VALUE"""),45819.0)</f>
        <v>45819</v>
      </c>
      <c r="G824" s="16" t="s">
        <v>5150</v>
      </c>
      <c r="H824" s="16" t="s">
        <v>5150</v>
      </c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 t="str">
        <f>IFERROR(__xludf.DUMMYFUNCTION("""COMPUTED_VALUE"""),"Chimera Investment Corp  Com")</f>
        <v>Chimera Investment Corp  Com</v>
      </c>
      <c r="B825" s="12" t="str">
        <f>IFERROR(__xludf.DUMMYFUNCTION("""COMPUTED_VALUE"""),"CIM-US")</f>
        <v>CIM-US</v>
      </c>
      <c r="C825" s="12"/>
      <c r="D825" s="13">
        <f>IFERROR(__xludf.DUMMYFUNCTION("""COMPUTED_VALUE"""),45428.0)</f>
        <v>45428</v>
      </c>
      <c r="E825" s="13">
        <f>IFERROR(__xludf.DUMMYFUNCTION("""COMPUTED_VALUE"""),45818.0)</f>
        <v>45818</v>
      </c>
      <c r="F825" s="13">
        <f>IFERROR(__xludf.DUMMYFUNCTION("""COMPUTED_VALUE"""),45818.0)</f>
        <v>45818</v>
      </c>
      <c r="G825" s="16" t="s">
        <v>5150</v>
      </c>
      <c r="H825" s="16" t="s">
        <v>5150</v>
      </c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 t="str">
        <f>IFERROR(__xludf.DUMMYFUNCTION("""COMPUTED_VALUE"""),"Xpel Inc  Com")</f>
        <v>Xpel Inc  Com</v>
      </c>
      <c r="B826" s="12" t="str">
        <f>IFERROR(__xludf.DUMMYFUNCTION("""COMPUTED_VALUE"""),"XPEL-US")</f>
        <v>XPEL-US</v>
      </c>
      <c r="C826" s="12"/>
      <c r="D826" s="13">
        <f>IFERROR(__xludf.DUMMYFUNCTION("""COMPUTED_VALUE"""),45428.0)</f>
        <v>45428</v>
      </c>
      <c r="E826" s="13">
        <f>IFERROR(__xludf.DUMMYFUNCTION("""COMPUTED_VALUE"""),45812.0)</f>
        <v>45812</v>
      </c>
      <c r="F826" s="13">
        <f>IFERROR(__xludf.DUMMYFUNCTION("""COMPUTED_VALUE"""),45812.0)</f>
        <v>45812</v>
      </c>
      <c r="G826" s="16" t="s">
        <v>5150</v>
      </c>
      <c r="H826" s="16" t="s">
        <v>5150</v>
      </c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 t="str">
        <f>IFERROR(__xludf.DUMMYFUNCTION("""COMPUTED_VALUE"""),"Root Inc  Cl A")</f>
        <v>Root Inc  Cl A</v>
      </c>
      <c r="B827" s="12" t="str">
        <f>IFERROR(__xludf.DUMMYFUNCTION("""COMPUTED_VALUE"""),"ROOT-US")</f>
        <v>ROOT-US</v>
      </c>
      <c r="C827" s="12"/>
      <c r="D827" s="13">
        <f>IFERROR(__xludf.DUMMYFUNCTION("""COMPUTED_VALUE"""),45428.0)</f>
        <v>45428</v>
      </c>
      <c r="E827" s="13">
        <f>IFERROR(__xludf.DUMMYFUNCTION("""COMPUTED_VALUE"""),45812.0)</f>
        <v>45812</v>
      </c>
      <c r="F827" s="13">
        <f>IFERROR(__xludf.DUMMYFUNCTION("""COMPUTED_VALUE"""),45812.0)</f>
        <v>45812</v>
      </c>
      <c r="G827" s="16" t="s">
        <v>5150</v>
      </c>
      <c r="H827" s="16" t="s">
        <v>5150</v>
      </c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 t="str">
        <f>IFERROR(__xludf.DUMMYFUNCTION("""COMPUTED_VALUE"""),"Kiniksa Pharmaceuticals Interna  Cl")</f>
        <v>Kiniksa Pharmaceuticals Interna  Cl</v>
      </c>
      <c r="B828" s="12" t="str">
        <f>IFERROR(__xludf.DUMMYFUNCTION("""COMPUTED_VALUE"""),"KNSA-US")</f>
        <v>KNSA-US</v>
      </c>
      <c r="C828" s="12"/>
      <c r="D828" s="13">
        <f>IFERROR(__xludf.DUMMYFUNCTION("""COMPUTED_VALUE"""),45428.0)</f>
        <v>45428</v>
      </c>
      <c r="E828" s="13">
        <f>IFERROR(__xludf.DUMMYFUNCTION("""COMPUTED_VALUE"""),45811.0)</f>
        <v>45811</v>
      </c>
      <c r="F828" s="13">
        <f>IFERROR(__xludf.DUMMYFUNCTION("""COMPUTED_VALUE"""),45811.0)</f>
        <v>45811</v>
      </c>
      <c r="G828" s="16" t="s">
        <v>5150</v>
      </c>
      <c r="H828" s="16" t="s">
        <v>5150</v>
      </c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 t="str">
        <f>IFERROR(__xludf.DUMMYFUNCTION("""COMPUTED_VALUE"""),"Figs Inc  Cl A")</f>
        <v>Figs Inc  Cl A</v>
      </c>
      <c r="B829" s="12" t="str">
        <f>IFERROR(__xludf.DUMMYFUNCTION("""COMPUTED_VALUE"""),"FIGS-US")</f>
        <v>FIGS-US</v>
      </c>
      <c r="C829" s="12"/>
      <c r="D829" s="13">
        <f>IFERROR(__xludf.DUMMYFUNCTION("""COMPUTED_VALUE"""),45428.0)</f>
        <v>45428</v>
      </c>
      <c r="E829" s="13">
        <f>IFERROR(__xludf.DUMMYFUNCTION("""COMPUTED_VALUE"""),45812.0)</f>
        <v>45812</v>
      </c>
      <c r="F829" s="13">
        <f>IFERROR(__xludf.DUMMYFUNCTION("""COMPUTED_VALUE"""),45812.0)</f>
        <v>45812</v>
      </c>
      <c r="G829" s="16" t="s">
        <v>5150</v>
      </c>
      <c r="H829" s="16" t="s">
        <v>5150</v>
      </c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 t="str">
        <f>IFERROR(__xludf.DUMMYFUNCTION("""COMPUTED_VALUE"""),"Bristow Group Inc  Com")</f>
        <v>Bristow Group Inc  Com</v>
      </c>
      <c r="B830" s="12" t="str">
        <f>IFERROR(__xludf.DUMMYFUNCTION("""COMPUTED_VALUE"""),"VTOL-US")</f>
        <v>VTOL-US</v>
      </c>
      <c r="C830" s="12"/>
      <c r="D830" s="13">
        <f>IFERROR(__xludf.DUMMYFUNCTION("""COMPUTED_VALUE"""),45428.0)</f>
        <v>45428</v>
      </c>
      <c r="E830" s="13">
        <f>IFERROR(__xludf.DUMMYFUNCTION("""COMPUTED_VALUE"""),45812.0)</f>
        <v>45812</v>
      </c>
      <c r="F830" s="13">
        <f>IFERROR(__xludf.DUMMYFUNCTION("""COMPUTED_VALUE"""),45812.0)</f>
        <v>45812</v>
      </c>
      <c r="G830" s="16" t="s">
        <v>5150</v>
      </c>
      <c r="H830" s="16" t="s">
        <v>5150</v>
      </c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 t="str">
        <f>IFERROR(__xludf.DUMMYFUNCTION("""COMPUTED_VALUE"""),"Cogent Biosciences Inc  Com")</f>
        <v>Cogent Biosciences Inc  Com</v>
      </c>
      <c r="B831" s="12" t="str">
        <f>IFERROR(__xludf.DUMMYFUNCTION("""COMPUTED_VALUE"""),"COGT-US")</f>
        <v>COGT-US</v>
      </c>
      <c r="C831" s="12"/>
      <c r="D831" s="13">
        <f>IFERROR(__xludf.DUMMYFUNCTION("""COMPUTED_VALUE"""),45428.0)</f>
        <v>45428</v>
      </c>
      <c r="E831" s="13">
        <f>IFERROR(__xludf.DUMMYFUNCTION("""COMPUTED_VALUE"""),45812.0)</f>
        <v>45812</v>
      </c>
      <c r="F831" s="13">
        <f>IFERROR(__xludf.DUMMYFUNCTION("""COMPUTED_VALUE"""),45812.0)</f>
        <v>45812</v>
      </c>
      <c r="G831" s="16" t="s">
        <v>5150</v>
      </c>
      <c r="H831" s="16" t="s">
        <v>5150</v>
      </c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 t="str">
        <f>IFERROR(__xludf.DUMMYFUNCTION("""COMPUTED_VALUE"""),"Bumble Inc  Cl A")</f>
        <v>Bumble Inc  Cl A</v>
      </c>
      <c r="B832" s="12" t="str">
        <f>IFERROR(__xludf.DUMMYFUNCTION("""COMPUTED_VALUE"""),"BMBL-US")</f>
        <v>BMBL-US</v>
      </c>
      <c r="C832" s="12"/>
      <c r="D832" s="13">
        <f>IFERROR(__xludf.DUMMYFUNCTION("""COMPUTED_VALUE"""),45428.0)</f>
        <v>45428</v>
      </c>
      <c r="E832" s="13">
        <f>IFERROR(__xludf.DUMMYFUNCTION("""COMPUTED_VALUE"""),45813.0)</f>
        <v>45813</v>
      </c>
      <c r="F832" s="13">
        <f>IFERROR(__xludf.DUMMYFUNCTION("""COMPUTED_VALUE"""),45813.0)</f>
        <v>45813</v>
      </c>
      <c r="G832" s="16" t="s">
        <v>5150</v>
      </c>
      <c r="H832" s="16" t="s">
        <v>5150</v>
      </c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 t="str">
        <f>IFERROR(__xludf.DUMMYFUNCTION("""COMPUTED_VALUE"""),"Cytek Biosciences Inc  Com")</f>
        <v>Cytek Biosciences Inc  Com</v>
      </c>
      <c r="B833" s="12" t="str">
        <f>IFERROR(__xludf.DUMMYFUNCTION("""COMPUTED_VALUE"""),"CTKB-US")</f>
        <v>CTKB-US</v>
      </c>
      <c r="C833" s="12"/>
      <c r="D833" s="13">
        <f>IFERROR(__xludf.DUMMYFUNCTION("""COMPUTED_VALUE"""),45428.0)</f>
        <v>45428</v>
      </c>
      <c r="E833" s="13">
        <f>IFERROR(__xludf.DUMMYFUNCTION("""COMPUTED_VALUE"""),45826.0)</f>
        <v>45826</v>
      </c>
      <c r="F833" s="13">
        <f>IFERROR(__xludf.DUMMYFUNCTION("""COMPUTED_VALUE"""),45826.0)</f>
        <v>45826</v>
      </c>
      <c r="G833" s="16" t="s">
        <v>5150</v>
      </c>
      <c r="H833" s="16" t="s">
        <v>5150</v>
      </c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 t="str">
        <f>IFERROR(__xludf.DUMMYFUNCTION("""COMPUTED_VALUE"""),"Axogen Inc  Com")</f>
        <v>Axogen Inc  Com</v>
      </c>
      <c r="B834" s="12" t="str">
        <f>IFERROR(__xludf.DUMMYFUNCTION("""COMPUTED_VALUE"""),"AXGN-US")</f>
        <v>AXGN-US</v>
      </c>
      <c r="C834" s="12"/>
      <c r="D834" s="13">
        <f>IFERROR(__xludf.DUMMYFUNCTION("""COMPUTED_VALUE"""),45428.0)</f>
        <v>45428</v>
      </c>
      <c r="E834" s="13">
        <f>IFERROR(__xludf.DUMMYFUNCTION("""COMPUTED_VALUE"""),45826.0)</f>
        <v>45826</v>
      </c>
      <c r="F834" s="13">
        <f>IFERROR(__xludf.DUMMYFUNCTION("""COMPUTED_VALUE"""),45826.0)</f>
        <v>45826</v>
      </c>
      <c r="G834" s="16" t="s">
        <v>5150</v>
      </c>
      <c r="H834" s="16" t="s">
        <v>5150</v>
      </c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 t="str">
        <f>IFERROR(__xludf.DUMMYFUNCTION("""COMPUTED_VALUE"""),"Ambac Financial Group Inc  Com New")</f>
        <v>Ambac Financial Group Inc  Com New</v>
      </c>
      <c r="B835" s="12" t="str">
        <f>IFERROR(__xludf.DUMMYFUNCTION("""COMPUTED_VALUE"""),"AMBC-US")</f>
        <v>AMBC-US</v>
      </c>
      <c r="C835" s="12"/>
      <c r="D835" s="13">
        <f>IFERROR(__xludf.DUMMYFUNCTION("""COMPUTED_VALUE"""),45428.0)</f>
        <v>45428</v>
      </c>
      <c r="E835" s="13">
        <f>IFERROR(__xludf.DUMMYFUNCTION("""COMPUTED_VALUE"""),45805.0)</f>
        <v>45805</v>
      </c>
      <c r="F835" s="13">
        <f>IFERROR(__xludf.DUMMYFUNCTION("""COMPUTED_VALUE"""),45805.0)</f>
        <v>45805</v>
      </c>
      <c r="G835" s="16" t="s">
        <v>5150</v>
      </c>
      <c r="H835" s="16" t="s">
        <v>5150</v>
      </c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 t="str">
        <f>IFERROR(__xludf.DUMMYFUNCTION("""COMPUTED_VALUE"""),"Kura Oncology Inc  Com")</f>
        <v>Kura Oncology Inc  Com</v>
      </c>
      <c r="B836" s="12" t="str">
        <f>IFERROR(__xludf.DUMMYFUNCTION("""COMPUTED_VALUE"""),"KURA-US")</f>
        <v>KURA-US</v>
      </c>
      <c r="C836" s="12"/>
      <c r="D836" s="13">
        <f>IFERROR(__xludf.DUMMYFUNCTION("""COMPUTED_VALUE"""),45428.0)</f>
        <v>45428</v>
      </c>
      <c r="E836" s="13">
        <f>IFERROR(__xludf.DUMMYFUNCTION("""COMPUTED_VALUE"""),45813.0)</f>
        <v>45813</v>
      </c>
      <c r="F836" s="13">
        <f>IFERROR(__xludf.DUMMYFUNCTION("""COMPUTED_VALUE"""),45813.0)</f>
        <v>45813</v>
      </c>
      <c r="G836" s="16" t="s">
        <v>5150</v>
      </c>
      <c r="H836" s="16" t="s">
        <v>5150</v>
      </c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 t="str">
        <f>IFERROR(__xludf.DUMMYFUNCTION("""COMPUTED_VALUE"""),"Arrow Financial Corp  Com")</f>
        <v>Arrow Financial Corp  Com</v>
      </c>
      <c r="B837" s="12" t="str">
        <f>IFERROR(__xludf.DUMMYFUNCTION("""COMPUTED_VALUE"""),"AROW-US")</f>
        <v>AROW-US</v>
      </c>
      <c r="C837" s="12"/>
      <c r="D837" s="13">
        <f>IFERROR(__xludf.DUMMYFUNCTION("""COMPUTED_VALUE"""),45428.0)</f>
        <v>45428</v>
      </c>
      <c r="E837" s="13">
        <f>IFERROR(__xludf.DUMMYFUNCTION("""COMPUTED_VALUE"""),45812.0)</f>
        <v>45812</v>
      </c>
      <c r="F837" s="13">
        <f>IFERROR(__xludf.DUMMYFUNCTION("""COMPUTED_VALUE"""),45812.0)</f>
        <v>45812</v>
      </c>
      <c r="G837" s="16" t="s">
        <v>5150</v>
      </c>
      <c r="H837" s="16" t="s">
        <v>5150</v>
      </c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 t="str">
        <f>IFERROR(__xludf.DUMMYFUNCTION("""COMPUTED_VALUE"""),"Financial Institutions Inc  Com")</f>
        <v>Financial Institutions Inc  Com</v>
      </c>
      <c r="B838" s="12" t="str">
        <f>IFERROR(__xludf.DUMMYFUNCTION("""COMPUTED_VALUE"""),"FISI-US")</f>
        <v>FISI-US</v>
      </c>
      <c r="C838" s="12"/>
      <c r="D838" s="13">
        <f>IFERROR(__xludf.DUMMYFUNCTION("""COMPUTED_VALUE"""),45428.0)</f>
        <v>45428</v>
      </c>
      <c r="E838" s="13">
        <f>IFERROR(__xludf.DUMMYFUNCTION("""COMPUTED_VALUE"""),45805.0)</f>
        <v>45805</v>
      </c>
      <c r="F838" s="13">
        <f>IFERROR(__xludf.DUMMYFUNCTION("""COMPUTED_VALUE"""),45805.0)</f>
        <v>45805</v>
      </c>
      <c r="G838" s="16" t="s">
        <v>5150</v>
      </c>
      <c r="H838" s="16" t="s">
        <v>5150</v>
      </c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 t="str">
        <f>IFERROR(__xludf.DUMMYFUNCTION("""COMPUTED_VALUE"""),"Universal Health Realty Inc Sbi")</f>
        <v>Universal Health Realty Inc Sbi</v>
      </c>
      <c r="B839" s="12" t="str">
        <f>IFERROR(__xludf.DUMMYFUNCTION("""COMPUTED_VALUE"""),"UHT-US")</f>
        <v>UHT-US</v>
      </c>
      <c r="C839" s="12"/>
      <c r="D839" s="13">
        <f>IFERROR(__xludf.DUMMYFUNCTION("""COMPUTED_VALUE"""),45428.0)</f>
        <v>45428</v>
      </c>
      <c r="E839" s="13">
        <f>IFERROR(__xludf.DUMMYFUNCTION("""COMPUTED_VALUE"""),45819.0)</f>
        <v>45819</v>
      </c>
      <c r="F839" s="13">
        <f>IFERROR(__xludf.DUMMYFUNCTION("""COMPUTED_VALUE"""),45819.0)</f>
        <v>45819</v>
      </c>
      <c r="G839" s="16" t="s">
        <v>5150</v>
      </c>
      <c r="H839" s="16" t="s">
        <v>5150</v>
      </c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 t="str">
        <f>IFERROR(__xludf.DUMMYFUNCTION("""COMPUTED_VALUE"""),"Annexon Inc  Com")</f>
        <v>Annexon Inc  Com</v>
      </c>
      <c r="B840" s="12" t="str">
        <f>IFERROR(__xludf.DUMMYFUNCTION("""COMPUTED_VALUE"""),"ANNX-US")</f>
        <v>ANNX-US</v>
      </c>
      <c r="C840" s="12"/>
      <c r="D840" s="13">
        <f>IFERROR(__xludf.DUMMYFUNCTION("""COMPUTED_VALUE"""),45428.0)</f>
        <v>45428</v>
      </c>
      <c r="E840" s="13">
        <f>IFERROR(__xludf.DUMMYFUNCTION("""COMPUTED_VALUE"""),45813.0)</f>
        <v>45813</v>
      </c>
      <c r="F840" s="13">
        <f>IFERROR(__xludf.DUMMYFUNCTION("""COMPUTED_VALUE"""),45813.0)</f>
        <v>45813</v>
      </c>
      <c r="G840" s="16" t="s">
        <v>5150</v>
      </c>
      <c r="H840" s="16" t="s">
        <v>5150</v>
      </c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 t="str">
        <f>IFERROR(__xludf.DUMMYFUNCTION("""COMPUTED_VALUE"""),"Heritage Insurance Holdings Inc  Com")</f>
        <v>Heritage Insurance Holdings Inc  Com</v>
      </c>
      <c r="B841" s="12" t="str">
        <f>IFERROR(__xludf.DUMMYFUNCTION("""COMPUTED_VALUE"""),"HRTG-US")</f>
        <v>HRTG-US</v>
      </c>
      <c r="C841" s="12"/>
      <c r="D841" s="13">
        <f>IFERROR(__xludf.DUMMYFUNCTION("""COMPUTED_VALUE"""),45428.0)</f>
        <v>45428</v>
      </c>
      <c r="E841" s="13">
        <f>IFERROR(__xludf.DUMMYFUNCTION("""COMPUTED_VALUE"""),45818.0)</f>
        <v>45818</v>
      </c>
      <c r="F841" s="13">
        <f>IFERROR(__xludf.DUMMYFUNCTION("""COMPUTED_VALUE"""),45818.0)</f>
        <v>45818</v>
      </c>
      <c r="G841" s="16" t="s">
        <v>5150</v>
      </c>
      <c r="H841" s="16" t="s">
        <v>5150</v>
      </c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 t="str">
        <f>IFERROR(__xludf.DUMMYFUNCTION("""COMPUTED_VALUE"""),"Zumiez Inc  Com")</f>
        <v>Zumiez Inc  Com</v>
      </c>
      <c r="B842" s="12" t="str">
        <f>IFERROR(__xludf.DUMMYFUNCTION("""COMPUTED_VALUE"""),"ZUMZ-US")</f>
        <v>ZUMZ-US</v>
      </c>
      <c r="C842" s="12"/>
      <c r="D842" s="13">
        <f>IFERROR(__xludf.DUMMYFUNCTION("""COMPUTED_VALUE"""),45428.0)</f>
        <v>45428</v>
      </c>
      <c r="E842" s="13">
        <f>IFERROR(__xludf.DUMMYFUNCTION("""COMPUTED_VALUE"""),45812.0)</f>
        <v>45812</v>
      </c>
      <c r="F842" s="13">
        <f>IFERROR(__xludf.DUMMYFUNCTION("""COMPUTED_VALUE"""),45812.0)</f>
        <v>45812</v>
      </c>
      <c r="G842" s="16" t="s">
        <v>5150</v>
      </c>
      <c r="H842" s="16" t="s">
        <v>5150</v>
      </c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 t="str">
        <f>IFERROR(__xludf.DUMMYFUNCTION("""COMPUTED_VALUE"""),"Avita Medical Inc  Com")</f>
        <v>Avita Medical Inc  Com</v>
      </c>
      <c r="B843" s="12" t="str">
        <f>IFERROR(__xludf.DUMMYFUNCTION("""COMPUTED_VALUE"""),"RCEL-US")</f>
        <v>RCEL-US</v>
      </c>
      <c r="C843" s="12"/>
      <c r="D843" s="13">
        <f>IFERROR(__xludf.DUMMYFUNCTION("""COMPUTED_VALUE"""),45428.0)</f>
        <v>45428</v>
      </c>
      <c r="E843" s="13">
        <f>IFERROR(__xludf.DUMMYFUNCTION("""COMPUTED_VALUE"""),45812.0)</f>
        <v>45812</v>
      </c>
      <c r="F843" s="13">
        <f>IFERROR(__xludf.DUMMYFUNCTION("""COMPUTED_VALUE"""),45812.0)</f>
        <v>45812</v>
      </c>
      <c r="G843" s="16" t="s">
        <v>5150</v>
      </c>
      <c r="H843" s="16" t="s">
        <v>5150</v>
      </c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 t="str">
        <f>IFERROR(__xludf.DUMMYFUNCTION("""COMPUTED_VALUE"""),"Astria Therapeutics Inc  Com")</f>
        <v>Astria Therapeutics Inc  Com</v>
      </c>
      <c r="B844" s="12" t="str">
        <f>IFERROR(__xludf.DUMMYFUNCTION("""COMPUTED_VALUE"""),"ATXS-US")</f>
        <v>ATXS-US</v>
      </c>
      <c r="C844" s="12"/>
      <c r="D844" s="13">
        <f>IFERROR(__xludf.DUMMYFUNCTION("""COMPUTED_VALUE"""),45428.0)</f>
        <v>45428</v>
      </c>
      <c r="E844" s="13">
        <f>IFERROR(__xludf.DUMMYFUNCTION("""COMPUTED_VALUE"""),45819.0)</f>
        <v>45819</v>
      </c>
      <c r="F844" s="13">
        <f>IFERROR(__xludf.DUMMYFUNCTION("""COMPUTED_VALUE"""),45819.0)</f>
        <v>45819</v>
      </c>
      <c r="G844" s="16" t="s">
        <v>5150</v>
      </c>
      <c r="H844" s="16" t="s">
        <v>5150</v>
      </c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 t="str">
        <f>IFERROR(__xludf.DUMMYFUNCTION("""COMPUTED_VALUE"""),"Xeris Biopharma Holdings Inc  Com")</f>
        <v>Xeris Biopharma Holdings Inc  Com</v>
      </c>
      <c r="B845" s="12" t="str">
        <f>IFERROR(__xludf.DUMMYFUNCTION("""COMPUTED_VALUE"""),"XERS-US")</f>
        <v>XERS-US</v>
      </c>
      <c r="C845" s="12"/>
      <c r="D845" s="13">
        <f>IFERROR(__xludf.DUMMYFUNCTION("""COMPUTED_VALUE"""),45428.0)</f>
        <v>45428</v>
      </c>
      <c r="E845" s="13">
        <f>IFERROR(__xludf.DUMMYFUNCTION("""COMPUTED_VALUE"""),45812.0)</f>
        <v>45812</v>
      </c>
      <c r="F845" s="13">
        <f>IFERROR(__xludf.DUMMYFUNCTION("""COMPUTED_VALUE"""),45812.0)</f>
        <v>45812</v>
      </c>
      <c r="G845" s="16" t="s">
        <v>5150</v>
      </c>
      <c r="H845" s="16" t="s">
        <v>5150</v>
      </c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 t="str">
        <f>IFERROR(__xludf.DUMMYFUNCTION("""COMPUTED_VALUE"""),"Stoke Therapeutics Inc  Com")</f>
        <v>Stoke Therapeutics Inc  Com</v>
      </c>
      <c r="B846" s="12" t="str">
        <f>IFERROR(__xludf.DUMMYFUNCTION("""COMPUTED_VALUE"""),"STOK-US")</f>
        <v>STOK-US</v>
      </c>
      <c r="C846" s="12"/>
      <c r="D846" s="13">
        <f>IFERROR(__xludf.DUMMYFUNCTION("""COMPUTED_VALUE"""),45428.0)</f>
        <v>45428</v>
      </c>
      <c r="E846" s="13">
        <f>IFERROR(__xludf.DUMMYFUNCTION("""COMPUTED_VALUE"""),45811.0)</f>
        <v>45811</v>
      </c>
      <c r="F846" s="13">
        <f>IFERROR(__xludf.DUMMYFUNCTION("""COMPUTED_VALUE"""),45811.0)</f>
        <v>45811</v>
      </c>
      <c r="G846" s="16" t="s">
        <v>5150</v>
      </c>
      <c r="H846" s="16" t="s">
        <v>5150</v>
      </c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 t="str">
        <f>IFERROR(__xludf.DUMMYFUNCTION("""COMPUTED_VALUE"""),"Montauk Renewables Inc  Com")</f>
        <v>Montauk Renewables Inc  Com</v>
      </c>
      <c r="B847" s="12" t="str">
        <f>IFERROR(__xludf.DUMMYFUNCTION("""COMPUTED_VALUE"""),"MNTK-US")</f>
        <v>MNTK-US</v>
      </c>
      <c r="C847" s="12"/>
      <c r="D847" s="13">
        <f>IFERROR(__xludf.DUMMYFUNCTION("""COMPUTED_VALUE"""),45428.0)</f>
        <v>45428</v>
      </c>
      <c r="E847" s="13">
        <f>IFERROR(__xludf.DUMMYFUNCTION("""COMPUTED_VALUE"""),45799.0)</f>
        <v>45799</v>
      </c>
      <c r="F847" s="13">
        <f>IFERROR(__xludf.DUMMYFUNCTION("""COMPUTED_VALUE"""),45799.0)</f>
        <v>45799</v>
      </c>
      <c r="G847" s="16" t="s">
        <v>5150</v>
      </c>
      <c r="H847" s="16" t="s">
        <v>5150</v>
      </c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 t="str">
        <f>IFERROR(__xludf.DUMMYFUNCTION("""COMPUTED_VALUE"""),"Nu Skin Enterprises Inc  Cl A")</f>
        <v>Nu Skin Enterprises Inc  Cl A</v>
      </c>
      <c r="B848" s="12" t="str">
        <f>IFERROR(__xludf.DUMMYFUNCTION("""COMPUTED_VALUE"""),"NUS-US")</f>
        <v>NUS-US</v>
      </c>
      <c r="C848" s="12"/>
      <c r="D848" s="13">
        <f>IFERROR(__xludf.DUMMYFUNCTION("""COMPUTED_VALUE"""),45428.0)</f>
        <v>45428</v>
      </c>
      <c r="E848" s="13">
        <f>IFERROR(__xludf.DUMMYFUNCTION("""COMPUTED_VALUE"""),45806.0)</f>
        <v>45806</v>
      </c>
      <c r="F848" s="13">
        <f>IFERROR(__xludf.DUMMYFUNCTION("""COMPUTED_VALUE"""),45806.0)</f>
        <v>45806</v>
      </c>
      <c r="G848" s="16" t="s">
        <v>5150</v>
      </c>
      <c r="H848" s="16" t="s">
        <v>5150</v>
      </c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 t="str">
        <f>IFERROR(__xludf.DUMMYFUNCTION("""COMPUTED_VALUE"""),"Cerus Corp  Com")</f>
        <v>Cerus Corp  Com</v>
      </c>
      <c r="B849" s="12" t="str">
        <f>IFERROR(__xludf.DUMMYFUNCTION("""COMPUTED_VALUE"""),"CERS-US")</f>
        <v>CERS-US</v>
      </c>
      <c r="C849" s="12"/>
      <c r="D849" s="13">
        <f>IFERROR(__xludf.DUMMYFUNCTION("""COMPUTED_VALUE"""),45428.0)</f>
        <v>45428</v>
      </c>
      <c r="E849" s="13">
        <f>IFERROR(__xludf.DUMMYFUNCTION("""COMPUTED_VALUE"""),45811.0)</f>
        <v>45811</v>
      </c>
      <c r="F849" s="13">
        <f>IFERROR(__xludf.DUMMYFUNCTION("""COMPUTED_VALUE"""),45811.0)</f>
        <v>45811</v>
      </c>
      <c r="G849" s="16" t="s">
        <v>5150</v>
      </c>
      <c r="H849" s="16" t="s">
        <v>5150</v>
      </c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 t="str">
        <f>IFERROR(__xludf.DUMMYFUNCTION("""COMPUTED_VALUE"""),"Iheartmedia Inc  Cl A")</f>
        <v>Iheartmedia Inc  Cl A</v>
      </c>
      <c r="B850" s="12" t="str">
        <f>IFERROR(__xludf.DUMMYFUNCTION("""COMPUTED_VALUE"""),"IHRT-US")</f>
        <v>IHRT-US</v>
      </c>
      <c r="C850" s="12"/>
      <c r="D850" s="13">
        <f>IFERROR(__xludf.DUMMYFUNCTION("""COMPUTED_VALUE"""),45428.0)</f>
        <v>45428</v>
      </c>
      <c r="E850" s="13">
        <f>IFERROR(__xludf.DUMMYFUNCTION("""COMPUTED_VALUE"""),45790.0)</f>
        <v>45790</v>
      </c>
      <c r="F850" s="13">
        <f>IFERROR(__xludf.DUMMYFUNCTION("""COMPUTED_VALUE"""),45790.0)</f>
        <v>45790</v>
      </c>
      <c r="G850" s="16" t="s">
        <v>5150</v>
      </c>
      <c r="H850" s="16" t="s">
        <v>5150</v>
      </c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 t="str">
        <f>IFERROR(__xludf.DUMMYFUNCTION("""COMPUTED_VALUE"""),"Microvision Inc (Wa)  Com")</f>
        <v>Microvision Inc (Wa)  Com</v>
      </c>
      <c r="B851" s="12" t="str">
        <f>IFERROR(__xludf.DUMMYFUNCTION("""COMPUTED_VALUE"""),"MVIS-US")</f>
        <v>MVIS-US</v>
      </c>
      <c r="C851" s="12"/>
      <c r="D851" s="13">
        <f>IFERROR(__xludf.DUMMYFUNCTION("""COMPUTED_VALUE"""),45428.0)</f>
        <v>45428</v>
      </c>
      <c r="E851" s="13">
        <f>IFERROR(__xludf.DUMMYFUNCTION("""COMPUTED_VALUE"""),45814.0)</f>
        <v>45814</v>
      </c>
      <c r="F851" s="13">
        <f>IFERROR(__xludf.DUMMYFUNCTION("""COMPUTED_VALUE"""),45814.0)</f>
        <v>45814</v>
      </c>
      <c r="G851" s="16" t="s">
        <v>5150</v>
      </c>
      <c r="H851" s="16" t="s">
        <v>5150</v>
      </c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 t="str">
        <f>IFERROR(__xludf.DUMMYFUNCTION("""COMPUTED_VALUE"""),"Chegg Inc  Com")</f>
        <v>Chegg Inc  Com</v>
      </c>
      <c r="B852" s="12" t="str">
        <f>IFERROR(__xludf.DUMMYFUNCTION("""COMPUTED_VALUE"""),"CHGG-US")</f>
        <v>CHGG-US</v>
      </c>
      <c r="C852" s="12"/>
      <c r="D852" s="13">
        <f>IFERROR(__xludf.DUMMYFUNCTION("""COMPUTED_VALUE"""),45428.0)</f>
        <v>45428</v>
      </c>
      <c r="E852" s="13">
        <f>IFERROR(__xludf.DUMMYFUNCTION("""COMPUTED_VALUE"""),45812.0)</f>
        <v>45812</v>
      </c>
      <c r="F852" s="13">
        <f>IFERROR(__xludf.DUMMYFUNCTION("""COMPUTED_VALUE"""),45812.0)</f>
        <v>45812</v>
      </c>
      <c r="G852" s="16" t="s">
        <v>5150</v>
      </c>
      <c r="H852" s="16" t="s">
        <v>5150</v>
      </c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 t="str">
        <f>IFERROR(__xludf.DUMMYFUNCTION("""COMPUTED_VALUE"""),"Voyager Therapeutics Inc  Com")</f>
        <v>Voyager Therapeutics Inc  Com</v>
      </c>
      <c r="B853" s="12" t="str">
        <f>IFERROR(__xludf.DUMMYFUNCTION("""COMPUTED_VALUE"""),"VYGR-US")</f>
        <v>VYGR-US</v>
      </c>
      <c r="C853" s="12"/>
      <c r="D853" s="13">
        <f>IFERROR(__xludf.DUMMYFUNCTION("""COMPUTED_VALUE"""),45428.0)</f>
        <v>45428</v>
      </c>
      <c r="E853" s="13">
        <f>IFERROR(__xludf.DUMMYFUNCTION("""COMPUTED_VALUE"""),45811.0)</f>
        <v>45811</v>
      </c>
      <c r="F853" s="13">
        <f>IFERROR(__xludf.DUMMYFUNCTION("""COMPUTED_VALUE"""),45811.0)</f>
        <v>45811</v>
      </c>
      <c r="G853" s="16" t="s">
        <v>5150</v>
      </c>
      <c r="H853" s="16" t="s">
        <v>5150</v>
      </c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 t="str">
        <f>IFERROR(__xludf.DUMMYFUNCTION("""COMPUTED_VALUE"""),"Allogene Therapeutics Inc  Com")</f>
        <v>Allogene Therapeutics Inc  Com</v>
      </c>
      <c r="B854" s="12" t="str">
        <f>IFERROR(__xludf.DUMMYFUNCTION("""COMPUTED_VALUE"""),"ALLO-US")</f>
        <v>ALLO-US</v>
      </c>
      <c r="C854" s="12"/>
      <c r="D854" s="13">
        <f>IFERROR(__xludf.DUMMYFUNCTION("""COMPUTED_VALUE"""),45428.0)</f>
        <v>45428</v>
      </c>
      <c r="E854" s="13">
        <f>IFERROR(__xludf.DUMMYFUNCTION("""COMPUTED_VALUE"""),45826.0)</f>
        <v>45826</v>
      </c>
      <c r="F854" s="13">
        <f>IFERROR(__xludf.DUMMYFUNCTION("""COMPUTED_VALUE"""),45826.0)</f>
        <v>45826</v>
      </c>
      <c r="G854" s="16" t="s">
        <v>5150</v>
      </c>
      <c r="H854" s="16" t="s">
        <v>5150</v>
      </c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 t="str">
        <f>IFERROR(__xludf.DUMMYFUNCTION("""COMPUTED_VALUE"""),"Inogen Inc  Com")</f>
        <v>Inogen Inc  Com</v>
      </c>
      <c r="B855" s="12" t="str">
        <f>IFERROR(__xludf.DUMMYFUNCTION("""COMPUTED_VALUE"""),"INGN-US")</f>
        <v>INGN-US</v>
      </c>
      <c r="C855" s="12"/>
      <c r="D855" s="13">
        <f>IFERROR(__xludf.DUMMYFUNCTION("""COMPUTED_VALUE"""),45428.0)</f>
        <v>45428</v>
      </c>
      <c r="E855" s="13">
        <f>IFERROR(__xludf.DUMMYFUNCTION("""COMPUTED_VALUE"""),45791.0)</f>
        <v>45791</v>
      </c>
      <c r="F855" s="13">
        <f>IFERROR(__xludf.DUMMYFUNCTION("""COMPUTED_VALUE"""),45791.0)</f>
        <v>45791</v>
      </c>
      <c r="G855" s="16" t="s">
        <v>5150</v>
      </c>
      <c r="H855" s="16" t="s">
        <v>5150</v>
      </c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 t="str">
        <f>IFERROR(__xludf.DUMMYFUNCTION("""COMPUTED_VALUE"""),"Tango Therapeutics Inc  Com")</f>
        <v>Tango Therapeutics Inc  Com</v>
      </c>
      <c r="B856" s="12" t="str">
        <f>IFERROR(__xludf.DUMMYFUNCTION("""COMPUTED_VALUE"""),"TNGX-US")</f>
        <v>TNGX-US</v>
      </c>
      <c r="C856" s="12"/>
      <c r="D856" s="13">
        <f>IFERROR(__xludf.DUMMYFUNCTION("""COMPUTED_VALUE"""),45428.0)</f>
        <v>45428</v>
      </c>
      <c r="E856" s="13">
        <f>IFERROR(__xludf.DUMMYFUNCTION("""COMPUTED_VALUE"""),45813.0)</f>
        <v>45813</v>
      </c>
      <c r="F856" s="13">
        <f>IFERROR(__xludf.DUMMYFUNCTION("""COMPUTED_VALUE"""),45813.0)</f>
        <v>45813</v>
      </c>
      <c r="G856" s="16" t="s">
        <v>5150</v>
      </c>
      <c r="H856" s="16" t="s">
        <v>5150</v>
      </c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 t="str">
        <f>IFERROR(__xludf.DUMMYFUNCTION("""COMPUTED_VALUE"""),"Luminar Technologies Inc  Cl A")</f>
        <v>Luminar Technologies Inc  Cl A</v>
      </c>
      <c r="B857" s="12" t="str">
        <f>IFERROR(__xludf.DUMMYFUNCTION("""COMPUTED_VALUE"""),"LAZR-US")</f>
        <v>LAZR-US</v>
      </c>
      <c r="C857" s="12"/>
      <c r="D857" s="13">
        <f>IFERROR(__xludf.DUMMYFUNCTION("""COMPUTED_VALUE"""),45428.0)</f>
        <v>45428</v>
      </c>
      <c r="E857" s="13">
        <f>IFERROR(__xludf.DUMMYFUNCTION("""COMPUTED_VALUE"""),45841.0)</f>
        <v>45841</v>
      </c>
      <c r="F857" s="13">
        <f>IFERROR(__xludf.DUMMYFUNCTION("""COMPUTED_VALUE"""),45841.0)</f>
        <v>45841</v>
      </c>
      <c r="G857" s="16" t="s">
        <v>5150</v>
      </c>
      <c r="H857" s="16" t="s">
        <v>5150</v>
      </c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 t="str">
        <f>IFERROR(__xludf.DUMMYFUNCTION("""COMPUTED_VALUE"""),"Ventyx Biosciences Inc  Com")</f>
        <v>Ventyx Biosciences Inc  Com</v>
      </c>
      <c r="B858" s="12" t="str">
        <f>IFERROR(__xludf.DUMMYFUNCTION("""COMPUTED_VALUE"""),"VTYX-US")</f>
        <v>VTYX-US</v>
      </c>
      <c r="C858" s="12"/>
      <c r="D858" s="13">
        <f>IFERROR(__xludf.DUMMYFUNCTION("""COMPUTED_VALUE"""),45428.0)</f>
        <v>45428</v>
      </c>
      <c r="E858" s="13">
        <f>IFERROR(__xludf.DUMMYFUNCTION("""COMPUTED_VALUE"""),45812.0)</f>
        <v>45812</v>
      </c>
      <c r="F858" s="13">
        <f>IFERROR(__xludf.DUMMYFUNCTION("""COMPUTED_VALUE"""),45812.0)</f>
        <v>45812</v>
      </c>
      <c r="G858" s="16" t="s">
        <v>5150</v>
      </c>
      <c r="H858" s="16" t="s">
        <v>5150</v>
      </c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 t="str">
        <f>IFERROR(__xludf.DUMMYFUNCTION("""COMPUTED_VALUE"""),"Optimizerx Corp  Com")</f>
        <v>Optimizerx Corp  Com</v>
      </c>
      <c r="B859" s="12" t="str">
        <f>IFERROR(__xludf.DUMMYFUNCTION("""COMPUTED_VALUE"""),"OPRX-US")</f>
        <v>OPRX-US</v>
      </c>
      <c r="C859" s="12"/>
      <c r="D859" s="13">
        <f>IFERROR(__xludf.DUMMYFUNCTION("""COMPUTED_VALUE"""),45428.0)</f>
        <v>45428</v>
      </c>
      <c r="E859" s="13">
        <f>IFERROR(__xludf.DUMMYFUNCTION("""COMPUTED_VALUE"""),45819.0)</f>
        <v>45819</v>
      </c>
      <c r="F859" s="13">
        <f>IFERROR(__xludf.DUMMYFUNCTION("""COMPUTED_VALUE"""),45819.0)</f>
        <v>45819</v>
      </c>
      <c r="G859" s="16" t="s">
        <v>5150</v>
      </c>
      <c r="H859" s="16" t="s">
        <v>5150</v>
      </c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 t="str">
        <f>IFERROR(__xludf.DUMMYFUNCTION("""COMPUTED_VALUE"""),"Booking Holdings Inc  Com")</f>
        <v>Booking Holdings Inc  Com</v>
      </c>
      <c r="B860" s="12" t="str">
        <f>IFERROR(__xludf.DUMMYFUNCTION("""COMPUTED_VALUE"""),"BKNG-US")</f>
        <v>BKNG-US</v>
      </c>
      <c r="C860" s="12"/>
      <c r="D860" s="13">
        <f>IFERROR(__xludf.DUMMYFUNCTION("""COMPUTED_VALUE"""),45428.0)</f>
        <v>45428</v>
      </c>
      <c r="E860" s="13">
        <f>IFERROR(__xludf.DUMMYFUNCTION("""COMPUTED_VALUE"""),45811.0)</f>
        <v>45811</v>
      </c>
      <c r="F860" s="13">
        <f>IFERROR(__xludf.DUMMYFUNCTION("""COMPUTED_VALUE"""),45811.0)</f>
        <v>45811</v>
      </c>
      <c r="G860" s="16" t="s">
        <v>5150</v>
      </c>
      <c r="H860" s="16" t="s">
        <v>5150</v>
      </c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 t="str">
        <f>IFERROR(__xludf.DUMMYFUNCTION("""COMPUTED_VALUE"""),"Tjx Companies Inc  Com")</f>
        <v>Tjx Companies Inc  Com</v>
      </c>
      <c r="B861" s="12" t="str">
        <f>IFERROR(__xludf.DUMMYFUNCTION("""COMPUTED_VALUE"""),"TJX-US")</f>
        <v>TJX-US</v>
      </c>
      <c r="C861" s="12"/>
      <c r="D861" s="13">
        <f>IFERROR(__xludf.DUMMYFUNCTION("""COMPUTED_VALUE"""),45428.0)</f>
        <v>45428</v>
      </c>
      <c r="E861" s="13">
        <f>IFERROR(__xludf.DUMMYFUNCTION("""COMPUTED_VALUE"""),45818.0)</f>
        <v>45818</v>
      </c>
      <c r="F861" s="13">
        <f>IFERROR(__xludf.DUMMYFUNCTION("""COMPUTED_VALUE"""),45818.0)</f>
        <v>45818</v>
      </c>
      <c r="G861" s="16" t="s">
        <v>5150</v>
      </c>
      <c r="H861" s="16" t="s">
        <v>5150</v>
      </c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 t="str">
        <f>IFERROR(__xludf.DUMMYFUNCTION("""COMPUTED_VALUE"""),"General Motors Co  Com")</f>
        <v>General Motors Co  Com</v>
      </c>
      <c r="B862" s="12" t="str">
        <f>IFERROR(__xludf.DUMMYFUNCTION("""COMPUTED_VALUE"""),"GM-US")</f>
        <v>GM-US</v>
      </c>
      <c r="C862" s="12"/>
      <c r="D862" s="13">
        <f>IFERROR(__xludf.DUMMYFUNCTION("""COMPUTED_VALUE"""),45428.0)</f>
        <v>45428</v>
      </c>
      <c r="E862" s="13">
        <f>IFERROR(__xludf.DUMMYFUNCTION("""COMPUTED_VALUE"""),45811.0)</f>
        <v>45811</v>
      </c>
      <c r="F862" s="13">
        <f>IFERROR(__xludf.DUMMYFUNCTION("""COMPUTED_VALUE"""),45811.0)</f>
        <v>45811</v>
      </c>
      <c r="G862" s="16" t="s">
        <v>5150</v>
      </c>
      <c r="H862" s="16" t="s">
        <v>5150</v>
      </c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 t="str">
        <f>IFERROR(__xludf.DUMMYFUNCTION("""COMPUTED_VALUE"""),"Cognizant Technology Solutions  Cl A")</f>
        <v>Cognizant Technology Solutions  Cl A</v>
      </c>
      <c r="B863" s="12" t="str">
        <f>IFERROR(__xludf.DUMMYFUNCTION("""COMPUTED_VALUE"""),"CTSH-US")</f>
        <v>CTSH-US</v>
      </c>
      <c r="C863" s="12"/>
      <c r="D863" s="13">
        <f>IFERROR(__xludf.DUMMYFUNCTION("""COMPUTED_VALUE"""),45428.0)</f>
        <v>45428</v>
      </c>
      <c r="E863" s="13">
        <f>IFERROR(__xludf.DUMMYFUNCTION("""COMPUTED_VALUE"""),45811.0)</f>
        <v>45811</v>
      </c>
      <c r="F863" s="13">
        <f>IFERROR(__xludf.DUMMYFUNCTION("""COMPUTED_VALUE"""),45811.0)</f>
        <v>45811</v>
      </c>
      <c r="G863" s="16" t="s">
        <v>5150</v>
      </c>
      <c r="H863" s="16" t="s">
        <v>5150</v>
      </c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 t="str">
        <f>IFERROR(__xludf.DUMMYFUNCTION("""COMPUTED_VALUE"""),"Cloudflare Inc  Cl A")</f>
        <v>Cloudflare Inc  Cl A</v>
      </c>
      <c r="B864" s="12" t="str">
        <f>IFERROR(__xludf.DUMMYFUNCTION("""COMPUTED_VALUE"""),"NET-US")</f>
        <v>NET-US</v>
      </c>
      <c r="C864" s="12"/>
      <c r="D864" s="13">
        <f>IFERROR(__xludf.DUMMYFUNCTION("""COMPUTED_VALUE"""),45428.0)</f>
        <v>45428</v>
      </c>
      <c r="E864" s="13">
        <f>IFERROR(__xludf.DUMMYFUNCTION("""COMPUTED_VALUE"""),45813.0)</f>
        <v>45813</v>
      </c>
      <c r="F864" s="13">
        <f>IFERROR(__xludf.DUMMYFUNCTION("""COMPUTED_VALUE"""),45813.0)</f>
        <v>45813</v>
      </c>
      <c r="G864" s="16" t="s">
        <v>5150</v>
      </c>
      <c r="H864" s="16" t="s">
        <v>5150</v>
      </c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 t="str">
        <f>IFERROR(__xludf.DUMMYFUNCTION("""COMPUTED_VALUE"""),"Ares Management Corp  Cl A")</f>
        <v>Ares Management Corp  Cl A</v>
      </c>
      <c r="B865" s="12" t="str">
        <f>IFERROR(__xludf.DUMMYFUNCTION("""COMPUTED_VALUE"""),"ARES-US")</f>
        <v>ARES-US</v>
      </c>
      <c r="C865" s="12"/>
      <c r="D865" s="13">
        <f>IFERROR(__xludf.DUMMYFUNCTION("""COMPUTED_VALUE"""),45428.0)</f>
        <v>45428</v>
      </c>
      <c r="E865" s="13">
        <f>IFERROR(__xludf.DUMMYFUNCTION("""COMPUTED_VALUE"""),45814.0)</f>
        <v>45814</v>
      </c>
      <c r="F865" s="13">
        <f>IFERROR(__xludf.DUMMYFUNCTION("""COMPUTED_VALUE"""),45814.0)</f>
        <v>45814</v>
      </c>
      <c r="G865" s="16" t="s">
        <v>5150</v>
      </c>
      <c r="H865" s="16" t="s">
        <v>5150</v>
      </c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 t="str">
        <f>IFERROR(__xludf.DUMMYFUNCTION("""COMPUTED_VALUE"""),"Fortive Corp  Com")</f>
        <v>Fortive Corp  Com</v>
      </c>
      <c r="B866" s="12" t="str">
        <f>IFERROR(__xludf.DUMMYFUNCTION("""COMPUTED_VALUE"""),"FTV-US")</f>
        <v>FTV-US</v>
      </c>
      <c r="C866" s="12"/>
      <c r="D866" s="13">
        <f>IFERROR(__xludf.DUMMYFUNCTION("""COMPUTED_VALUE"""),45428.0)</f>
        <v>45428</v>
      </c>
      <c r="E866" s="13">
        <f>IFERROR(__xludf.DUMMYFUNCTION("""COMPUTED_VALUE"""),45811.0)</f>
        <v>45811</v>
      </c>
      <c r="F866" s="13">
        <f>IFERROR(__xludf.DUMMYFUNCTION("""COMPUTED_VALUE"""),45811.0)</f>
        <v>45811</v>
      </c>
      <c r="G866" s="16" t="s">
        <v>5150</v>
      </c>
      <c r="H866" s="16" t="s">
        <v>5150</v>
      </c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 t="str">
        <f>IFERROR(__xludf.DUMMYFUNCTION("""COMPUTED_VALUE"""),"Builders Firstsource Inc  Com")</f>
        <v>Builders Firstsource Inc  Com</v>
      </c>
      <c r="B867" s="12" t="str">
        <f>IFERROR(__xludf.DUMMYFUNCTION("""COMPUTED_VALUE"""),"BLDR-US")</f>
        <v>BLDR-US</v>
      </c>
      <c r="C867" s="12"/>
      <c r="D867" s="13">
        <f>IFERROR(__xludf.DUMMYFUNCTION("""COMPUTED_VALUE"""),45428.0)</f>
        <v>45428</v>
      </c>
      <c r="E867" s="13">
        <f>IFERROR(__xludf.DUMMYFUNCTION("""COMPUTED_VALUE"""),45804.0)</f>
        <v>45804</v>
      </c>
      <c r="F867" s="13">
        <f>IFERROR(__xludf.DUMMYFUNCTION("""COMPUTED_VALUE"""),45804.0)</f>
        <v>45804</v>
      </c>
      <c r="G867" s="16" t="s">
        <v>5150</v>
      </c>
      <c r="H867" s="16" t="s">
        <v>5150</v>
      </c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 t="str">
        <f>IFERROR(__xludf.DUMMYFUNCTION("""COMPUTED_VALUE"""),"Juniper Networks Inc  Com")</f>
        <v>Juniper Networks Inc  Com</v>
      </c>
      <c r="B868" s="12" t="str">
        <f>IFERROR(__xludf.DUMMYFUNCTION("""COMPUTED_VALUE"""),"JNPR-US")</f>
        <v>JNPR-US</v>
      </c>
      <c r="C868" s="12"/>
      <c r="D868" s="13">
        <f>IFERROR(__xludf.DUMMYFUNCTION("""COMPUTED_VALUE"""),45428.0)</f>
        <v>45428</v>
      </c>
      <c r="E868" s="13">
        <f>IFERROR(__xludf.DUMMYFUNCTION("""COMPUTED_VALUE"""),45805.0)</f>
        <v>45805</v>
      </c>
      <c r="F868" s="13">
        <f>IFERROR(__xludf.DUMMYFUNCTION("""COMPUTED_VALUE"""),45805.0)</f>
        <v>45805</v>
      </c>
      <c r="G868" s="16" t="s">
        <v>5150</v>
      </c>
      <c r="H868" s="16" t="s">
        <v>5150</v>
      </c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 t="str">
        <f>IFERROR(__xludf.DUMMYFUNCTION("""COMPUTED_VALUE"""),"Crocs Inc  Com")</f>
        <v>Crocs Inc  Com</v>
      </c>
      <c r="B869" s="12" t="str">
        <f>IFERROR(__xludf.DUMMYFUNCTION("""COMPUTED_VALUE"""),"CROX-US")</f>
        <v>CROX-US</v>
      </c>
      <c r="C869" s="12"/>
      <c r="D869" s="13">
        <f>IFERROR(__xludf.DUMMYFUNCTION("""COMPUTED_VALUE"""),45428.0)</f>
        <v>45428</v>
      </c>
      <c r="E869" s="13">
        <f>IFERROR(__xludf.DUMMYFUNCTION("""COMPUTED_VALUE"""),45818.0)</f>
        <v>45818</v>
      </c>
      <c r="F869" s="13">
        <f>IFERROR(__xludf.DUMMYFUNCTION("""COMPUTED_VALUE"""),45818.0)</f>
        <v>45818</v>
      </c>
      <c r="G869" s="16" t="s">
        <v>5150</v>
      </c>
      <c r="H869" s="16" t="s">
        <v>5150</v>
      </c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 t="str">
        <f>IFERROR(__xludf.DUMMYFUNCTION("""COMPUTED_VALUE"""),"Paramount Global  Cl B")</f>
        <v>Paramount Global  Cl B</v>
      </c>
      <c r="B870" s="12" t="str">
        <f>IFERROR(__xludf.DUMMYFUNCTION("""COMPUTED_VALUE"""),"PARA-US")</f>
        <v>PARA-US</v>
      </c>
      <c r="C870" s="12"/>
      <c r="D870" s="13">
        <f>IFERROR(__xludf.DUMMYFUNCTION("""COMPUTED_VALUE"""),45428.0)</f>
        <v>45428</v>
      </c>
      <c r="E870" s="13">
        <f>IFERROR(__xludf.DUMMYFUNCTION("""COMPUTED_VALUE"""),45840.0)</f>
        <v>45840</v>
      </c>
      <c r="F870" s="13">
        <f>IFERROR(__xludf.DUMMYFUNCTION("""COMPUTED_VALUE"""),45840.0)</f>
        <v>45840</v>
      </c>
      <c r="G870" s="16" t="s">
        <v>5150</v>
      </c>
      <c r="H870" s="16" t="s">
        <v>5150</v>
      </c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 t="str">
        <f>IFERROR(__xludf.DUMMYFUNCTION("""COMPUTED_VALUE"""),"Element Solutions Inc  Com")</f>
        <v>Element Solutions Inc  Com</v>
      </c>
      <c r="B871" s="12" t="str">
        <f>IFERROR(__xludf.DUMMYFUNCTION("""COMPUTED_VALUE"""),"ESI-US")</f>
        <v>ESI-US</v>
      </c>
      <c r="C871" s="12"/>
      <c r="D871" s="13">
        <f>IFERROR(__xludf.DUMMYFUNCTION("""COMPUTED_VALUE"""),45428.0)</f>
        <v>45428</v>
      </c>
      <c r="E871" s="13">
        <f>IFERROR(__xludf.DUMMYFUNCTION("""COMPUTED_VALUE"""),45811.0)</f>
        <v>45811</v>
      </c>
      <c r="F871" s="13">
        <f>IFERROR(__xludf.DUMMYFUNCTION("""COMPUTED_VALUE"""),45811.0)</f>
        <v>45811</v>
      </c>
      <c r="G871" s="16" t="s">
        <v>5150</v>
      </c>
      <c r="H871" s="16" t="s">
        <v>5150</v>
      </c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 t="str">
        <f>IFERROR(__xludf.DUMMYFUNCTION("""COMPUTED_VALUE"""),"Aci Worldwide Inc  Com")</f>
        <v>Aci Worldwide Inc  Com</v>
      </c>
      <c r="B872" s="12" t="str">
        <f>IFERROR(__xludf.DUMMYFUNCTION("""COMPUTED_VALUE"""),"ACIW-US")</f>
        <v>ACIW-US</v>
      </c>
      <c r="C872" s="12"/>
      <c r="D872" s="13">
        <f>IFERROR(__xludf.DUMMYFUNCTION("""COMPUTED_VALUE"""),45428.0)</f>
        <v>45428</v>
      </c>
      <c r="E872" s="13">
        <f>IFERROR(__xludf.DUMMYFUNCTION("""COMPUTED_VALUE"""),45811.0)</f>
        <v>45811</v>
      </c>
      <c r="F872" s="13">
        <f>IFERROR(__xludf.DUMMYFUNCTION("""COMPUTED_VALUE"""),45811.0)</f>
        <v>45811</v>
      </c>
      <c r="G872" s="16" t="s">
        <v>5150</v>
      </c>
      <c r="H872" s="16" t="s">
        <v>5150</v>
      </c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 t="str">
        <f>IFERROR(__xludf.DUMMYFUNCTION("""COMPUTED_VALUE"""),"Viper Energy Inc  Com")</f>
        <v>Viper Energy Inc  Com</v>
      </c>
      <c r="B873" s="12" t="str">
        <f>IFERROR(__xludf.DUMMYFUNCTION("""COMPUTED_VALUE"""),"VNOM-US")</f>
        <v>VNOM-US</v>
      </c>
      <c r="C873" s="12"/>
      <c r="D873" s="13">
        <f>IFERROR(__xludf.DUMMYFUNCTION("""COMPUTED_VALUE"""),45428.0)</f>
        <v>45428</v>
      </c>
      <c r="E873" s="13">
        <f>IFERROR(__xludf.DUMMYFUNCTION("""COMPUTED_VALUE"""),45797.0)</f>
        <v>45797</v>
      </c>
      <c r="F873" s="13">
        <f>IFERROR(__xludf.DUMMYFUNCTION("""COMPUTED_VALUE"""),45797.0)</f>
        <v>45797</v>
      </c>
      <c r="G873" s="16" t="s">
        <v>5150</v>
      </c>
      <c r="H873" s="16" t="s">
        <v>5150</v>
      </c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 t="str">
        <f>IFERROR(__xludf.DUMMYFUNCTION("""COMPUTED_VALUE"""),"Civitas Resources Inc  Com")</f>
        <v>Civitas Resources Inc  Com</v>
      </c>
      <c r="B874" s="12" t="str">
        <f>IFERROR(__xludf.DUMMYFUNCTION("""COMPUTED_VALUE"""),"CIVI-US")</f>
        <v>CIVI-US</v>
      </c>
      <c r="C874" s="12"/>
      <c r="D874" s="13">
        <f>IFERROR(__xludf.DUMMYFUNCTION("""COMPUTED_VALUE"""),45428.0)</f>
        <v>45428</v>
      </c>
      <c r="E874" s="13">
        <f>IFERROR(__xludf.DUMMYFUNCTION("""COMPUTED_VALUE"""),45812.0)</f>
        <v>45812</v>
      </c>
      <c r="F874" s="13">
        <f>IFERROR(__xludf.DUMMYFUNCTION("""COMPUTED_VALUE"""),45812.0)</f>
        <v>45812</v>
      </c>
      <c r="G874" s="16" t="s">
        <v>5150</v>
      </c>
      <c r="H874" s="16" t="s">
        <v>5150</v>
      </c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 t="str">
        <f>IFERROR(__xludf.DUMMYFUNCTION("""COMPUTED_VALUE"""),"Adma Biologics Inc  Com Vtg")</f>
        <v>Adma Biologics Inc  Com Vtg</v>
      </c>
      <c r="B875" s="12" t="str">
        <f>IFERROR(__xludf.DUMMYFUNCTION("""COMPUTED_VALUE"""),"ADMA-US")</f>
        <v>ADMA-US</v>
      </c>
      <c r="C875" s="12"/>
      <c r="D875" s="13">
        <f>IFERROR(__xludf.DUMMYFUNCTION("""COMPUTED_VALUE"""),45428.0)</f>
        <v>45428</v>
      </c>
      <c r="E875" s="13">
        <f>IFERROR(__xludf.DUMMYFUNCTION("""COMPUTED_VALUE"""),45807.0)</f>
        <v>45807</v>
      </c>
      <c r="F875" s="13">
        <f>IFERROR(__xludf.DUMMYFUNCTION("""COMPUTED_VALUE"""),45807.0)</f>
        <v>45807</v>
      </c>
      <c r="G875" s="16" t="s">
        <v>5152</v>
      </c>
      <c r="H875" s="16" t="s">
        <v>5152</v>
      </c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 t="str">
        <f>IFERROR(__xludf.DUMMYFUNCTION("""COMPUTED_VALUE"""),"Txnm Energy Inc  Com")</f>
        <v>Txnm Energy Inc  Com</v>
      </c>
      <c r="B876" s="12" t="str">
        <f>IFERROR(__xludf.DUMMYFUNCTION("""COMPUTED_VALUE"""),"TXNM-US")</f>
        <v>TXNM-US</v>
      </c>
      <c r="C876" s="12"/>
      <c r="D876" s="13">
        <f>IFERROR(__xludf.DUMMYFUNCTION("""COMPUTED_VALUE"""),45428.0)</f>
        <v>45428</v>
      </c>
      <c r="E876" s="13">
        <f>IFERROR(__xludf.DUMMYFUNCTION("""COMPUTED_VALUE"""),45790.0)</f>
        <v>45790</v>
      </c>
      <c r="F876" s="13">
        <f>IFERROR(__xludf.DUMMYFUNCTION("""COMPUTED_VALUE"""),45790.0)</f>
        <v>45790</v>
      </c>
      <c r="G876" s="16" t="s">
        <v>5150</v>
      </c>
      <c r="H876" s="16" t="s">
        <v>5150</v>
      </c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 t="str">
        <f>IFERROR(__xludf.DUMMYFUNCTION("""COMPUTED_VALUE"""),"Organon &amp; Co  Com")</f>
        <v>Organon &amp; Co  Com</v>
      </c>
      <c r="B877" s="12" t="str">
        <f>IFERROR(__xludf.DUMMYFUNCTION("""COMPUTED_VALUE"""),"OGN-US")</f>
        <v>OGN-US</v>
      </c>
      <c r="C877" s="12"/>
      <c r="D877" s="13">
        <f>IFERROR(__xludf.DUMMYFUNCTION("""COMPUTED_VALUE"""),45428.0)</f>
        <v>45428</v>
      </c>
      <c r="E877" s="13">
        <f>IFERROR(__xludf.DUMMYFUNCTION("""COMPUTED_VALUE"""),45818.0)</f>
        <v>45818</v>
      </c>
      <c r="F877" s="13">
        <f>IFERROR(__xludf.DUMMYFUNCTION("""COMPUTED_VALUE"""),45818.0)</f>
        <v>45818</v>
      </c>
      <c r="G877" s="16" t="s">
        <v>5150</v>
      </c>
      <c r="H877" s="16" t="s">
        <v>5150</v>
      </c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 t="str">
        <f>IFERROR(__xludf.DUMMYFUNCTION("""COMPUTED_VALUE"""),"Mirion Technologies Inc  Cl A")</f>
        <v>Mirion Technologies Inc  Cl A</v>
      </c>
      <c r="B878" s="12" t="str">
        <f>IFERROR(__xludf.DUMMYFUNCTION("""COMPUTED_VALUE"""),"MIR-US")</f>
        <v>MIR-US</v>
      </c>
      <c r="C878" s="12"/>
      <c r="D878" s="13">
        <f>IFERROR(__xludf.DUMMYFUNCTION("""COMPUTED_VALUE"""),45428.0)</f>
        <v>45428</v>
      </c>
      <c r="E878" s="13">
        <f>IFERROR(__xludf.DUMMYFUNCTION("""COMPUTED_VALUE"""),45792.0)</f>
        <v>45792</v>
      </c>
      <c r="F878" s="13">
        <f>IFERROR(__xludf.DUMMYFUNCTION("""COMPUTED_VALUE"""),45792.0)</f>
        <v>45792</v>
      </c>
      <c r="G878" s="16" t="s">
        <v>5150</v>
      </c>
      <c r="H878" s="16" t="s">
        <v>5150</v>
      </c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 t="str">
        <f>IFERROR(__xludf.DUMMYFUNCTION("""COMPUTED_VALUE"""),"Procept Biorobotics Corp  Com")</f>
        <v>Procept Biorobotics Corp  Com</v>
      </c>
      <c r="B879" s="12" t="str">
        <f>IFERROR(__xludf.DUMMYFUNCTION("""COMPUTED_VALUE"""),"PRCT-US")</f>
        <v>PRCT-US</v>
      </c>
      <c r="C879" s="12"/>
      <c r="D879" s="13">
        <f>IFERROR(__xludf.DUMMYFUNCTION("""COMPUTED_VALUE"""),45428.0)</f>
        <v>45428</v>
      </c>
      <c r="E879" s="13">
        <f>IFERROR(__xludf.DUMMYFUNCTION("""COMPUTED_VALUE"""),45818.0)</f>
        <v>45818</v>
      </c>
      <c r="F879" s="13">
        <f>IFERROR(__xludf.DUMMYFUNCTION("""COMPUTED_VALUE"""),45818.0)</f>
        <v>45818</v>
      </c>
      <c r="G879" s="16" t="s">
        <v>5150</v>
      </c>
      <c r="H879" s="16" t="s">
        <v>5150</v>
      </c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 t="str">
        <f>IFERROR(__xludf.DUMMYFUNCTION("""COMPUTED_VALUE"""),"Lucid Group Inc  Com")</f>
        <v>Lucid Group Inc  Com</v>
      </c>
      <c r="B880" s="12" t="str">
        <f>IFERROR(__xludf.DUMMYFUNCTION("""COMPUTED_VALUE"""),"LCID-US")</f>
        <v>LCID-US</v>
      </c>
      <c r="C880" s="12"/>
      <c r="D880" s="13">
        <f>IFERROR(__xludf.DUMMYFUNCTION("""COMPUTED_VALUE"""),45428.0)</f>
        <v>45428</v>
      </c>
      <c r="E880" s="13">
        <f>IFERROR(__xludf.DUMMYFUNCTION("""COMPUTED_VALUE"""),45813.0)</f>
        <v>45813</v>
      </c>
      <c r="F880" s="13">
        <f>IFERROR(__xludf.DUMMYFUNCTION("""COMPUTED_VALUE"""),45813.0)</f>
        <v>45813</v>
      </c>
      <c r="G880" s="16" t="s">
        <v>5150</v>
      </c>
      <c r="H880" s="16" t="s">
        <v>5150</v>
      </c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 t="str">
        <f>IFERROR(__xludf.DUMMYFUNCTION("""COMPUTED_VALUE"""),"Penn Entertainment Inc  Com")</f>
        <v>Penn Entertainment Inc  Com</v>
      </c>
      <c r="B881" s="12" t="str">
        <f>IFERROR(__xludf.DUMMYFUNCTION("""COMPUTED_VALUE"""),"PENN-US")</f>
        <v>PENN-US</v>
      </c>
      <c r="C881" s="12"/>
      <c r="D881" s="13">
        <f>IFERROR(__xludf.DUMMYFUNCTION("""COMPUTED_VALUE"""),45428.0)</f>
        <v>45428</v>
      </c>
      <c r="E881" s="13">
        <f>IFERROR(__xludf.DUMMYFUNCTION("""COMPUTED_VALUE"""),45825.0)</f>
        <v>45825</v>
      </c>
      <c r="F881" s="13">
        <f>IFERROR(__xludf.DUMMYFUNCTION("""COMPUTED_VALUE"""),45825.0)</f>
        <v>45825</v>
      </c>
      <c r="G881" s="16" t="s">
        <v>5150</v>
      </c>
      <c r="H881" s="16" t="s">
        <v>5150</v>
      </c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 t="str">
        <f>IFERROR(__xludf.DUMMYFUNCTION("""COMPUTED_VALUE"""),"Flywire Corp  Com Vtg")</f>
        <v>Flywire Corp  Com Vtg</v>
      </c>
      <c r="B882" s="12" t="str">
        <f>IFERROR(__xludf.DUMMYFUNCTION("""COMPUTED_VALUE"""),"FLYW-US")</f>
        <v>FLYW-US</v>
      </c>
      <c r="C882" s="12"/>
      <c r="D882" s="13">
        <f>IFERROR(__xludf.DUMMYFUNCTION("""COMPUTED_VALUE"""),45428.0)</f>
        <v>45428</v>
      </c>
      <c r="E882" s="13">
        <f>IFERROR(__xludf.DUMMYFUNCTION("""COMPUTED_VALUE"""),45811.0)</f>
        <v>45811</v>
      </c>
      <c r="F882" s="13">
        <f>IFERROR(__xludf.DUMMYFUNCTION("""COMPUTED_VALUE"""),45811.0)</f>
        <v>45811</v>
      </c>
      <c r="G882" s="16" t="s">
        <v>5150</v>
      </c>
      <c r="H882" s="16" t="s">
        <v>5150</v>
      </c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 t="str">
        <f>IFERROR(__xludf.DUMMYFUNCTION("""COMPUTED_VALUE"""),"Upbound Group Inc  Com")</f>
        <v>Upbound Group Inc  Com</v>
      </c>
      <c r="B883" s="12" t="str">
        <f>IFERROR(__xludf.DUMMYFUNCTION("""COMPUTED_VALUE"""),"UPBD-US")</f>
        <v>UPBD-US</v>
      </c>
      <c r="C883" s="12"/>
      <c r="D883" s="13">
        <f>IFERROR(__xludf.DUMMYFUNCTION("""COMPUTED_VALUE"""),45428.0)</f>
        <v>45428</v>
      </c>
      <c r="E883" s="13">
        <f>IFERROR(__xludf.DUMMYFUNCTION("""COMPUTED_VALUE"""),45811.0)</f>
        <v>45811</v>
      </c>
      <c r="F883" s="13">
        <f>IFERROR(__xludf.DUMMYFUNCTION("""COMPUTED_VALUE"""),45811.0)</f>
        <v>45811</v>
      </c>
      <c r="G883" s="16" t="s">
        <v>5150</v>
      </c>
      <c r="H883" s="16" t="s">
        <v>5150</v>
      </c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 t="str">
        <f>IFERROR(__xludf.DUMMYFUNCTION("""COMPUTED_VALUE"""),"Vita Coco Co Inc  Com")</f>
        <v>Vita Coco Co Inc  Com</v>
      </c>
      <c r="B884" s="12" t="str">
        <f>IFERROR(__xludf.DUMMYFUNCTION("""COMPUTED_VALUE"""),"COCO-US")</f>
        <v>COCO-US</v>
      </c>
      <c r="C884" s="12"/>
      <c r="D884" s="13">
        <f>IFERROR(__xludf.DUMMYFUNCTION("""COMPUTED_VALUE"""),45428.0)</f>
        <v>45428</v>
      </c>
      <c r="E884" s="13">
        <f>IFERROR(__xludf.DUMMYFUNCTION("""COMPUTED_VALUE"""),45811.0)</f>
        <v>45811</v>
      </c>
      <c r="F884" s="13">
        <f>IFERROR(__xludf.DUMMYFUNCTION("""COMPUTED_VALUE"""),45811.0)</f>
        <v>45811</v>
      </c>
      <c r="G884" s="16" t="s">
        <v>5150</v>
      </c>
      <c r="H884" s="16" t="s">
        <v>5150</v>
      </c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 t="str">
        <f>IFERROR(__xludf.DUMMYFUNCTION("""COMPUTED_VALUE"""),"Stellar Bancorp Inc  Com")</f>
        <v>Stellar Bancorp Inc  Com</v>
      </c>
      <c r="B885" s="12" t="str">
        <f>IFERROR(__xludf.DUMMYFUNCTION("""COMPUTED_VALUE"""),"STEL-US")</f>
        <v>STEL-US</v>
      </c>
      <c r="C885" s="12"/>
      <c r="D885" s="13">
        <f>IFERROR(__xludf.DUMMYFUNCTION("""COMPUTED_VALUE"""),45428.0)</f>
        <v>45428</v>
      </c>
      <c r="E885" s="13">
        <f>IFERROR(__xludf.DUMMYFUNCTION("""COMPUTED_VALUE"""),45798.0)</f>
        <v>45798</v>
      </c>
      <c r="F885" s="13">
        <f>IFERROR(__xludf.DUMMYFUNCTION("""COMPUTED_VALUE"""),45798.0)</f>
        <v>45798</v>
      </c>
      <c r="G885" s="16" t="s">
        <v>5150</v>
      </c>
      <c r="H885" s="16" t="s">
        <v>5150</v>
      </c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 t="str">
        <f>IFERROR(__xludf.DUMMYFUNCTION("""COMPUTED_VALUE"""),"Mfa Financial Inc  Com")</f>
        <v>Mfa Financial Inc  Com</v>
      </c>
      <c r="B886" s="12" t="str">
        <f>IFERROR(__xludf.DUMMYFUNCTION("""COMPUTED_VALUE"""),"MFA-US")</f>
        <v>MFA-US</v>
      </c>
      <c r="C886" s="12"/>
      <c r="D886" s="13">
        <f>IFERROR(__xludf.DUMMYFUNCTION("""COMPUTED_VALUE"""),45428.0)</f>
        <v>45428</v>
      </c>
      <c r="E886" s="13">
        <f>IFERROR(__xludf.DUMMYFUNCTION("""COMPUTED_VALUE"""),45811.0)</f>
        <v>45811</v>
      </c>
      <c r="F886" s="13">
        <f>IFERROR(__xludf.DUMMYFUNCTION("""COMPUTED_VALUE"""),45811.0)</f>
        <v>45811</v>
      </c>
      <c r="G886" s="16" t="s">
        <v>5150</v>
      </c>
      <c r="H886" s="16" t="s">
        <v>5150</v>
      </c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 t="str">
        <f>IFERROR(__xludf.DUMMYFUNCTION("""COMPUTED_VALUE"""),"Mimedx Group Inc  Com")</f>
        <v>Mimedx Group Inc  Com</v>
      </c>
      <c r="B887" s="12" t="str">
        <f>IFERROR(__xludf.DUMMYFUNCTION("""COMPUTED_VALUE"""),"MDXG-US")</f>
        <v>MDXG-US</v>
      </c>
      <c r="C887" s="12"/>
      <c r="D887" s="13">
        <f>IFERROR(__xludf.DUMMYFUNCTION("""COMPUTED_VALUE"""),45428.0)</f>
        <v>45428</v>
      </c>
      <c r="E887" s="13">
        <f>IFERROR(__xludf.DUMMYFUNCTION("""COMPUTED_VALUE"""),45826.0)</f>
        <v>45826</v>
      </c>
      <c r="F887" s="13">
        <f>IFERROR(__xludf.DUMMYFUNCTION("""COMPUTED_VALUE"""),45826.0)</f>
        <v>45826</v>
      </c>
      <c r="G887" s="16" t="s">
        <v>5150</v>
      </c>
      <c r="H887" s="16" t="s">
        <v>5150</v>
      </c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 t="str">
        <f>IFERROR(__xludf.DUMMYFUNCTION("""COMPUTED_VALUE"""),"Ameresco Inc  Cl A")</f>
        <v>Ameresco Inc  Cl A</v>
      </c>
      <c r="B888" s="12" t="str">
        <f>IFERROR(__xludf.DUMMYFUNCTION("""COMPUTED_VALUE"""),"AMRC-US")</f>
        <v>AMRC-US</v>
      </c>
      <c r="C888" s="12"/>
      <c r="D888" s="13">
        <f>IFERROR(__xludf.DUMMYFUNCTION("""COMPUTED_VALUE"""),45428.0)</f>
        <v>45428</v>
      </c>
      <c r="E888" s="13">
        <f>IFERROR(__xludf.DUMMYFUNCTION("""COMPUTED_VALUE"""),45812.0)</f>
        <v>45812</v>
      </c>
      <c r="F888" s="13">
        <f>IFERROR(__xludf.DUMMYFUNCTION("""COMPUTED_VALUE"""),45812.0)</f>
        <v>45812</v>
      </c>
      <c r="G888" s="16" t="s">
        <v>5150</v>
      </c>
      <c r="H888" s="16" t="s">
        <v>5150</v>
      </c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 t="str">
        <f>IFERROR(__xludf.DUMMYFUNCTION("""COMPUTED_VALUE"""),"Byline Bancorp Inc  Com")</f>
        <v>Byline Bancorp Inc  Com</v>
      </c>
      <c r="B889" s="12" t="str">
        <f>IFERROR(__xludf.DUMMYFUNCTION("""COMPUTED_VALUE"""),"BY-US")</f>
        <v>BY-US</v>
      </c>
      <c r="C889" s="12"/>
      <c r="D889" s="13">
        <f>IFERROR(__xludf.DUMMYFUNCTION("""COMPUTED_VALUE"""),45428.0)</f>
        <v>45428</v>
      </c>
      <c r="E889" s="13">
        <f>IFERROR(__xludf.DUMMYFUNCTION("""COMPUTED_VALUE"""),45811.0)</f>
        <v>45811</v>
      </c>
      <c r="F889" s="13">
        <f>IFERROR(__xludf.DUMMYFUNCTION("""COMPUTED_VALUE"""),45811.0)</f>
        <v>45811</v>
      </c>
      <c r="G889" s="16" t="s">
        <v>5150</v>
      </c>
      <c r="H889" s="16" t="s">
        <v>5150</v>
      </c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 t="str">
        <f>IFERROR(__xludf.DUMMYFUNCTION("""COMPUTED_VALUE"""),"Uwm Holdings Corp  Cl A")</f>
        <v>Uwm Holdings Corp  Cl A</v>
      </c>
      <c r="B890" s="12" t="str">
        <f>IFERROR(__xludf.DUMMYFUNCTION("""COMPUTED_VALUE"""),"UWMC-US")</f>
        <v>UWMC-US</v>
      </c>
      <c r="C890" s="12"/>
      <c r="D890" s="13">
        <f>IFERROR(__xludf.DUMMYFUNCTION("""COMPUTED_VALUE"""),45428.0)</f>
        <v>45428</v>
      </c>
      <c r="E890" s="13">
        <f>IFERROR(__xludf.DUMMYFUNCTION("""COMPUTED_VALUE"""),45812.0)</f>
        <v>45812</v>
      </c>
      <c r="F890" s="13">
        <f>IFERROR(__xludf.DUMMYFUNCTION("""COMPUTED_VALUE"""),45812.0)</f>
        <v>45812</v>
      </c>
      <c r="G890" s="16" t="s">
        <v>5150</v>
      </c>
      <c r="H890" s="16" t="s">
        <v>5150</v>
      </c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 t="str">
        <f>IFERROR(__xludf.DUMMYFUNCTION("""COMPUTED_VALUE"""),"Hippo Holdings Inc  Cl A")</f>
        <v>Hippo Holdings Inc  Cl A</v>
      </c>
      <c r="B891" s="12" t="str">
        <f>IFERROR(__xludf.DUMMYFUNCTION("""COMPUTED_VALUE"""),"HIPO-US")</f>
        <v>HIPO-US</v>
      </c>
      <c r="C891" s="12"/>
      <c r="D891" s="13">
        <f>IFERROR(__xludf.DUMMYFUNCTION("""COMPUTED_VALUE"""),45428.0)</f>
        <v>45428</v>
      </c>
      <c r="E891" s="13">
        <f>IFERROR(__xludf.DUMMYFUNCTION("""COMPUTED_VALUE"""),45811.0)</f>
        <v>45811</v>
      </c>
      <c r="F891" s="13">
        <f>IFERROR(__xludf.DUMMYFUNCTION("""COMPUTED_VALUE"""),45811.0)</f>
        <v>45811</v>
      </c>
      <c r="G891" s="16" t="s">
        <v>5150</v>
      </c>
      <c r="H891" s="16" t="s">
        <v>5150</v>
      </c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 t="str">
        <f>IFERROR(__xludf.DUMMYFUNCTION("""COMPUTED_VALUE"""),"Cargo Therapeutics Inc  Com")</f>
        <v>Cargo Therapeutics Inc  Com</v>
      </c>
      <c r="B892" s="12" t="str">
        <f>IFERROR(__xludf.DUMMYFUNCTION("""COMPUTED_VALUE"""),"CRGX-US")</f>
        <v>CRGX-US</v>
      </c>
      <c r="C892" s="12"/>
      <c r="D892" s="13">
        <f>IFERROR(__xludf.DUMMYFUNCTION("""COMPUTED_VALUE"""),45428.0)</f>
        <v>45428</v>
      </c>
      <c r="E892" s="13">
        <f>IFERROR(__xludf.DUMMYFUNCTION("""COMPUTED_VALUE"""),45826.0)</f>
        <v>45826</v>
      </c>
      <c r="F892" s="13">
        <f>IFERROR(__xludf.DUMMYFUNCTION("""COMPUTED_VALUE"""),45826.0)</f>
        <v>45826</v>
      </c>
      <c r="G892" s="16" t="s">
        <v>5150</v>
      </c>
      <c r="H892" s="16" t="s">
        <v>5150</v>
      </c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 t="str">
        <f>IFERROR(__xludf.DUMMYFUNCTION("""COMPUTED_VALUE"""),"Lindblad Expeditions Holdings  Com")</f>
        <v>Lindblad Expeditions Holdings  Com</v>
      </c>
      <c r="B893" s="12" t="str">
        <f>IFERROR(__xludf.DUMMYFUNCTION("""COMPUTED_VALUE"""),"LIND-US")</f>
        <v>LIND-US</v>
      </c>
      <c r="C893" s="12"/>
      <c r="D893" s="13">
        <f>IFERROR(__xludf.DUMMYFUNCTION("""COMPUTED_VALUE"""),45428.0)</f>
        <v>45428</v>
      </c>
      <c r="E893" s="13">
        <f>IFERROR(__xludf.DUMMYFUNCTION("""COMPUTED_VALUE"""),45812.0)</f>
        <v>45812</v>
      </c>
      <c r="F893" s="13">
        <f>IFERROR(__xludf.DUMMYFUNCTION("""COMPUTED_VALUE"""),45812.0)</f>
        <v>45812</v>
      </c>
      <c r="G893" s="16" t="s">
        <v>5150</v>
      </c>
      <c r="H893" s="16" t="s">
        <v>5150</v>
      </c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 t="str">
        <f>IFERROR(__xludf.DUMMYFUNCTION("""COMPUTED_VALUE"""),"Viant Technology Inc  Cl A")</f>
        <v>Viant Technology Inc  Cl A</v>
      </c>
      <c r="B894" s="12" t="str">
        <f>IFERROR(__xludf.DUMMYFUNCTION("""COMPUTED_VALUE"""),"DSP-US")</f>
        <v>DSP-US</v>
      </c>
      <c r="C894" s="12"/>
      <c r="D894" s="13">
        <f>IFERROR(__xludf.DUMMYFUNCTION("""COMPUTED_VALUE"""),45428.0)</f>
        <v>45428</v>
      </c>
      <c r="E894" s="13">
        <f>IFERROR(__xludf.DUMMYFUNCTION("""COMPUTED_VALUE"""),45813.0)</f>
        <v>45813</v>
      </c>
      <c r="F894" s="13">
        <f>IFERROR(__xludf.DUMMYFUNCTION("""COMPUTED_VALUE"""),45813.0)</f>
        <v>45813</v>
      </c>
      <c r="G894" s="16" t="s">
        <v>5150</v>
      </c>
      <c r="H894" s="16" t="s">
        <v>5150</v>
      </c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 t="str">
        <f>IFERROR(__xludf.DUMMYFUNCTION("""COMPUTED_VALUE"""),"Nabors Industries Ltd  Com")</f>
        <v>Nabors Industries Ltd  Com</v>
      </c>
      <c r="B895" s="12" t="str">
        <f>IFERROR(__xludf.DUMMYFUNCTION("""COMPUTED_VALUE"""),"NBR-US")</f>
        <v>NBR-US</v>
      </c>
      <c r="C895" s="12"/>
      <c r="D895" s="13">
        <f>IFERROR(__xludf.DUMMYFUNCTION("""COMPUTED_VALUE"""),45428.0)</f>
        <v>45428</v>
      </c>
      <c r="E895" s="13">
        <f>IFERROR(__xludf.DUMMYFUNCTION("""COMPUTED_VALUE"""),45811.0)</f>
        <v>45811</v>
      </c>
      <c r="F895" s="13">
        <f>IFERROR(__xludf.DUMMYFUNCTION("""COMPUTED_VALUE"""),45811.0)</f>
        <v>45811</v>
      </c>
      <c r="G895" s="16" t="s">
        <v>5150</v>
      </c>
      <c r="H895" s="16" t="s">
        <v>5150</v>
      </c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 t="str">
        <f>IFERROR(__xludf.DUMMYFUNCTION("""COMPUTED_VALUE"""),"Gogo Inc  Com")</f>
        <v>Gogo Inc  Com</v>
      </c>
      <c r="B896" s="12" t="str">
        <f>IFERROR(__xludf.DUMMYFUNCTION("""COMPUTED_VALUE"""),"GOGO-US")</f>
        <v>GOGO-US</v>
      </c>
      <c r="C896" s="12"/>
      <c r="D896" s="13">
        <f>IFERROR(__xludf.DUMMYFUNCTION("""COMPUTED_VALUE"""),45428.0)</f>
        <v>45428</v>
      </c>
      <c r="E896" s="13">
        <f>IFERROR(__xludf.DUMMYFUNCTION("""COMPUTED_VALUE"""),45820.0)</f>
        <v>45820</v>
      </c>
      <c r="F896" s="13">
        <f>IFERROR(__xludf.DUMMYFUNCTION("""COMPUTED_VALUE"""),45820.0)</f>
        <v>45820</v>
      </c>
      <c r="G896" s="16" t="s">
        <v>5150</v>
      </c>
      <c r="H896" s="16" t="s">
        <v>5150</v>
      </c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 t="str">
        <f>IFERROR(__xludf.DUMMYFUNCTION("""COMPUTED_VALUE"""),"Kodiak Sciences Inc  Com")</f>
        <v>Kodiak Sciences Inc  Com</v>
      </c>
      <c r="B897" s="12" t="str">
        <f>IFERROR(__xludf.DUMMYFUNCTION("""COMPUTED_VALUE"""),"KOD-US")</f>
        <v>KOD-US</v>
      </c>
      <c r="C897" s="12"/>
      <c r="D897" s="13">
        <f>IFERROR(__xludf.DUMMYFUNCTION("""COMPUTED_VALUE"""),45428.0)</f>
        <v>45428</v>
      </c>
      <c r="E897" s="13">
        <f>IFERROR(__xludf.DUMMYFUNCTION("""COMPUTED_VALUE"""),45810.0)</f>
        <v>45810</v>
      </c>
      <c r="F897" s="13">
        <f>IFERROR(__xludf.DUMMYFUNCTION("""COMPUTED_VALUE"""),45810.0)</f>
        <v>45810</v>
      </c>
      <c r="G897" s="16" t="s">
        <v>5150</v>
      </c>
      <c r="H897" s="16" t="s">
        <v>5150</v>
      </c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 t="str">
        <f>IFERROR(__xludf.DUMMYFUNCTION("""COMPUTED_VALUE"""),"Vivid Seats Inc  Cl A")</f>
        <v>Vivid Seats Inc  Cl A</v>
      </c>
      <c r="B898" s="12" t="str">
        <f>IFERROR(__xludf.DUMMYFUNCTION("""COMPUTED_VALUE"""),"SEAT-US")</f>
        <v>SEAT-US</v>
      </c>
      <c r="C898" s="12"/>
      <c r="D898" s="13">
        <f>IFERROR(__xludf.DUMMYFUNCTION("""COMPUTED_VALUE"""),45428.0)</f>
        <v>45428</v>
      </c>
      <c r="E898" s="13">
        <f>IFERROR(__xludf.DUMMYFUNCTION("""COMPUTED_VALUE"""),45811.0)</f>
        <v>45811</v>
      </c>
      <c r="F898" s="13">
        <f>IFERROR(__xludf.DUMMYFUNCTION("""COMPUTED_VALUE"""),45811.0)</f>
        <v>45811</v>
      </c>
      <c r="G898" s="16" t="s">
        <v>5150</v>
      </c>
      <c r="H898" s="16" t="s">
        <v>5150</v>
      </c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 t="str">
        <f>IFERROR(__xludf.DUMMYFUNCTION("""COMPUTED_VALUE"""),"Funko Inc  Cl A")</f>
        <v>Funko Inc  Cl A</v>
      </c>
      <c r="B899" s="12" t="str">
        <f>IFERROR(__xludf.DUMMYFUNCTION("""COMPUTED_VALUE"""),"FNKO-US")</f>
        <v>FNKO-US</v>
      </c>
      <c r="C899" s="12"/>
      <c r="D899" s="13">
        <f>IFERROR(__xludf.DUMMYFUNCTION("""COMPUTED_VALUE"""),45428.0)</f>
        <v>45428</v>
      </c>
      <c r="E899" s="13">
        <f>IFERROR(__xludf.DUMMYFUNCTION("""COMPUTED_VALUE"""),45820.0)</f>
        <v>45820</v>
      </c>
      <c r="F899" s="13">
        <f>IFERROR(__xludf.DUMMYFUNCTION("""COMPUTED_VALUE"""),45820.0)</f>
        <v>45820</v>
      </c>
      <c r="G899" s="16" t="s">
        <v>5150</v>
      </c>
      <c r="H899" s="16" t="s">
        <v>5150</v>
      </c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 t="str">
        <f>IFERROR(__xludf.DUMMYFUNCTION("""COMPUTED_VALUE"""),"Ribbon Communications Inc  Com")</f>
        <v>Ribbon Communications Inc  Com</v>
      </c>
      <c r="B900" s="12" t="str">
        <f>IFERROR(__xludf.DUMMYFUNCTION("""COMPUTED_VALUE"""),"RBBN-US")</f>
        <v>RBBN-US</v>
      </c>
      <c r="C900" s="12"/>
      <c r="D900" s="13">
        <f>IFERROR(__xludf.DUMMYFUNCTION("""COMPUTED_VALUE"""),45428.0)</f>
        <v>45428</v>
      </c>
      <c r="E900" s="13">
        <f>IFERROR(__xludf.DUMMYFUNCTION("""COMPUTED_VALUE"""),45805.0)</f>
        <v>45805</v>
      </c>
      <c r="F900" s="13">
        <f>IFERROR(__xludf.DUMMYFUNCTION("""COMPUTED_VALUE"""),45805.0)</f>
        <v>45805</v>
      </c>
      <c r="G900" s="16" t="s">
        <v>5150</v>
      </c>
      <c r="H900" s="16" t="s">
        <v>5150</v>
      </c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 t="str">
        <f>IFERROR(__xludf.DUMMYFUNCTION("""COMPUTED_VALUE"""),"Claros Mortgage Trust Inc  Com")</f>
        <v>Claros Mortgage Trust Inc  Com</v>
      </c>
      <c r="B901" s="12" t="str">
        <f>IFERROR(__xludf.DUMMYFUNCTION("""COMPUTED_VALUE"""),"CMTG-US")</f>
        <v>CMTG-US</v>
      </c>
      <c r="C901" s="12"/>
      <c r="D901" s="13">
        <f>IFERROR(__xludf.DUMMYFUNCTION("""COMPUTED_VALUE"""),45428.0)</f>
        <v>45428</v>
      </c>
      <c r="E901" s="13">
        <f>IFERROR(__xludf.DUMMYFUNCTION("""COMPUTED_VALUE"""),45812.0)</f>
        <v>45812</v>
      </c>
      <c r="F901" s="13">
        <f>IFERROR(__xludf.DUMMYFUNCTION("""COMPUTED_VALUE"""),45812.0)</f>
        <v>45812</v>
      </c>
      <c r="G901" s="16" t="s">
        <v>5150</v>
      </c>
      <c r="H901" s="16" t="s">
        <v>5150</v>
      </c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 t="str">
        <f>IFERROR(__xludf.DUMMYFUNCTION("""COMPUTED_VALUE"""),"Paramount Global  Cl A")</f>
        <v>Paramount Global  Cl A</v>
      </c>
      <c r="B902" s="12" t="str">
        <f>IFERROR(__xludf.DUMMYFUNCTION("""COMPUTED_VALUE"""),"PARAA-US")</f>
        <v>PARAA-US</v>
      </c>
      <c r="C902" s="12"/>
      <c r="D902" s="13">
        <f>IFERROR(__xludf.DUMMYFUNCTION("""COMPUTED_VALUE"""),45428.0)</f>
        <v>45428</v>
      </c>
      <c r="E902" s="13">
        <f>IFERROR(__xludf.DUMMYFUNCTION("""COMPUTED_VALUE"""),45840.0)</f>
        <v>45840</v>
      </c>
      <c r="F902" s="13">
        <f>IFERROR(__xludf.DUMMYFUNCTION("""COMPUTED_VALUE"""),45840.0)</f>
        <v>45840</v>
      </c>
      <c r="G902" s="16" t="s">
        <v>5150</v>
      </c>
      <c r="H902" s="16" t="s">
        <v>5150</v>
      </c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 t="str">
        <f>IFERROR(__xludf.DUMMYFUNCTION("""COMPUTED_VALUE"""),"Aldeyra Therapeutics Inc  Com")</f>
        <v>Aldeyra Therapeutics Inc  Com</v>
      </c>
      <c r="B903" s="12" t="str">
        <f>IFERROR(__xludf.DUMMYFUNCTION("""COMPUTED_VALUE"""),"ALDX-US")</f>
        <v>ALDX-US</v>
      </c>
      <c r="C903" s="12"/>
      <c r="D903" s="13">
        <f>IFERROR(__xludf.DUMMYFUNCTION("""COMPUTED_VALUE"""),45428.0)</f>
        <v>45428</v>
      </c>
      <c r="E903" s="13">
        <f>IFERROR(__xludf.DUMMYFUNCTION("""COMPUTED_VALUE"""),45818.0)</f>
        <v>45818</v>
      </c>
      <c r="F903" s="13">
        <f>IFERROR(__xludf.DUMMYFUNCTION("""COMPUTED_VALUE"""),45818.0)</f>
        <v>45818</v>
      </c>
      <c r="G903" s="16" t="s">
        <v>5150</v>
      </c>
      <c r="H903" s="16" t="s">
        <v>5150</v>
      </c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 t="str">
        <f>IFERROR(__xludf.DUMMYFUNCTION("""COMPUTED_VALUE"""),"Hooker Furnishings Corp  Com")</f>
        <v>Hooker Furnishings Corp  Com</v>
      </c>
      <c r="B904" s="12" t="str">
        <f>IFERROR(__xludf.DUMMYFUNCTION("""COMPUTED_VALUE"""),"HOFT-US")</f>
        <v>HOFT-US</v>
      </c>
      <c r="C904" s="12"/>
      <c r="D904" s="13">
        <f>IFERROR(__xludf.DUMMYFUNCTION("""COMPUTED_VALUE"""),45428.0)</f>
        <v>45428</v>
      </c>
      <c r="E904" s="13">
        <f>IFERROR(__xludf.DUMMYFUNCTION("""COMPUTED_VALUE"""),45825.0)</f>
        <v>45825</v>
      </c>
      <c r="F904" s="13">
        <f>IFERROR(__xludf.DUMMYFUNCTION("""COMPUTED_VALUE"""),45825.0)</f>
        <v>45825</v>
      </c>
      <c r="G904" s="16" t="s">
        <v>5155</v>
      </c>
      <c r="H904" s="16" t="s">
        <v>5155</v>
      </c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 t="str">
        <f>IFERROR(__xludf.DUMMYFUNCTION("""COMPUTED_VALUE"""),"Cvrx Inc  Com")</f>
        <v>Cvrx Inc  Com</v>
      </c>
      <c r="B905" s="12" t="str">
        <f>IFERROR(__xludf.DUMMYFUNCTION("""COMPUTED_VALUE"""),"CVRX-US")</f>
        <v>CVRX-US</v>
      </c>
      <c r="C905" s="12"/>
      <c r="D905" s="13">
        <f>IFERROR(__xludf.DUMMYFUNCTION("""COMPUTED_VALUE"""),45428.0)</f>
        <v>45428</v>
      </c>
      <c r="E905" s="13">
        <f>IFERROR(__xludf.DUMMYFUNCTION("""COMPUTED_VALUE"""),45811.0)</f>
        <v>45811</v>
      </c>
      <c r="F905" s="13">
        <f>IFERROR(__xludf.DUMMYFUNCTION("""COMPUTED_VALUE"""),45811.0)</f>
        <v>45811</v>
      </c>
      <c r="G905" s="16" t="s">
        <v>5150</v>
      </c>
      <c r="H905" s="16" t="s">
        <v>5150</v>
      </c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 t="str">
        <f>IFERROR(__xludf.DUMMYFUNCTION("""COMPUTED_VALUE"""),"Playstudios Inc  Cl A")</f>
        <v>Playstudios Inc  Cl A</v>
      </c>
      <c r="B906" s="12" t="str">
        <f>IFERROR(__xludf.DUMMYFUNCTION("""COMPUTED_VALUE"""),"MYPS-US")</f>
        <v>MYPS-US</v>
      </c>
      <c r="C906" s="12"/>
      <c r="D906" s="13">
        <f>IFERROR(__xludf.DUMMYFUNCTION("""COMPUTED_VALUE"""),45428.0)</f>
        <v>45428</v>
      </c>
      <c r="E906" s="13">
        <f>IFERROR(__xludf.DUMMYFUNCTION("""COMPUTED_VALUE"""),45860.0)</f>
        <v>45860</v>
      </c>
      <c r="F906" s="13">
        <f>IFERROR(__xludf.DUMMYFUNCTION("""COMPUTED_VALUE"""),45860.0)</f>
        <v>45860</v>
      </c>
      <c r="G906" s="16" t="s">
        <v>5150</v>
      </c>
      <c r="H906" s="16" t="s">
        <v>5150</v>
      </c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 t="str">
        <f>IFERROR(__xludf.DUMMYFUNCTION("""COMPUTED_VALUE"""),"Aersale Corp  Com")</f>
        <v>Aersale Corp  Com</v>
      </c>
      <c r="B907" s="12" t="str">
        <f>IFERROR(__xludf.DUMMYFUNCTION("""COMPUTED_VALUE"""),"ASLE-US")</f>
        <v>ASLE-US</v>
      </c>
      <c r="C907" s="12"/>
      <c r="D907" s="13">
        <f>IFERROR(__xludf.DUMMYFUNCTION("""COMPUTED_VALUE"""),45428.0)</f>
        <v>45428</v>
      </c>
      <c r="E907" s="13">
        <f>IFERROR(__xludf.DUMMYFUNCTION("""COMPUTED_VALUE"""),45813.0)</f>
        <v>45813</v>
      </c>
      <c r="F907" s="13">
        <f>IFERROR(__xludf.DUMMYFUNCTION("""COMPUTED_VALUE"""),45813.0)</f>
        <v>45813</v>
      </c>
      <c r="G907" s="16" t="s">
        <v>5150</v>
      </c>
      <c r="H907" s="16" t="s">
        <v>5150</v>
      </c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 t="str">
        <f>IFERROR(__xludf.DUMMYFUNCTION("""COMPUTED_VALUE"""),"Unitedhealth Group Inc  Com")</f>
        <v>Unitedhealth Group Inc  Com</v>
      </c>
      <c r="B908" s="12" t="str">
        <f>IFERROR(__xludf.DUMMYFUNCTION("""COMPUTED_VALUE"""),"UNH-US")</f>
        <v>UNH-US</v>
      </c>
      <c r="C908" s="12"/>
      <c r="D908" s="13">
        <f>IFERROR(__xludf.DUMMYFUNCTION("""COMPUTED_VALUE"""),45428.0)</f>
        <v>45428</v>
      </c>
      <c r="E908" s="13">
        <f>IFERROR(__xludf.DUMMYFUNCTION("""COMPUTED_VALUE"""),45810.0)</f>
        <v>45810</v>
      </c>
      <c r="F908" s="13">
        <f>IFERROR(__xludf.DUMMYFUNCTION("""COMPUTED_VALUE"""),45810.0)</f>
        <v>45810</v>
      </c>
      <c r="G908" s="16" t="s">
        <v>5150</v>
      </c>
      <c r="H908" s="16" t="s">
        <v>5150</v>
      </c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 t="str">
        <f>IFERROR(__xludf.DUMMYFUNCTION("""COMPUTED_VALUE"""),"Warner Bros Discovery Inc  Cl A")</f>
        <v>Warner Bros Discovery Inc  Cl A</v>
      </c>
      <c r="B909" s="12" t="str">
        <f>IFERROR(__xludf.DUMMYFUNCTION("""COMPUTED_VALUE"""),"WBD-US")</f>
        <v>WBD-US</v>
      </c>
      <c r="C909" s="12"/>
      <c r="D909" s="13">
        <f>IFERROR(__xludf.DUMMYFUNCTION("""COMPUTED_VALUE"""),45428.0)</f>
        <v>45428</v>
      </c>
      <c r="E909" s="13">
        <f>IFERROR(__xludf.DUMMYFUNCTION("""COMPUTED_VALUE"""),45810.0)</f>
        <v>45810</v>
      </c>
      <c r="F909" s="13">
        <f>IFERROR(__xludf.DUMMYFUNCTION("""COMPUTED_VALUE"""),45810.0)</f>
        <v>45810</v>
      </c>
      <c r="G909" s="16" t="s">
        <v>5150</v>
      </c>
      <c r="H909" s="16" t="s">
        <v>5150</v>
      </c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 t="str">
        <f>IFERROR(__xludf.DUMMYFUNCTION("""COMPUTED_VALUE"""),"Watsco Inc  Com")</f>
        <v>Watsco Inc  Com</v>
      </c>
      <c r="B910" s="12" t="str">
        <f>IFERROR(__xludf.DUMMYFUNCTION("""COMPUTED_VALUE"""),"WSO-US")</f>
        <v>WSO-US</v>
      </c>
      <c r="C910" s="12"/>
      <c r="D910" s="13">
        <f>IFERROR(__xludf.DUMMYFUNCTION("""COMPUTED_VALUE"""),45428.0)</f>
        <v>45428</v>
      </c>
      <c r="E910" s="13">
        <f>IFERROR(__xludf.DUMMYFUNCTION("""COMPUTED_VALUE"""),45810.0)</f>
        <v>45810</v>
      </c>
      <c r="F910" s="13">
        <f>IFERROR(__xludf.DUMMYFUNCTION("""COMPUTED_VALUE"""),45810.0)</f>
        <v>45810</v>
      </c>
      <c r="G910" s="16" t="s">
        <v>5150</v>
      </c>
      <c r="H910" s="16" t="s">
        <v>5150</v>
      </c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 t="str">
        <f>IFERROR(__xludf.DUMMYFUNCTION("""COMPUTED_VALUE"""),"Zillow Group Inc  Cl C")</f>
        <v>Zillow Group Inc  Cl C</v>
      </c>
      <c r="B911" s="12" t="str">
        <f>IFERROR(__xludf.DUMMYFUNCTION("""COMPUTED_VALUE"""),"Z-US")</f>
        <v>Z-US</v>
      </c>
      <c r="C911" s="12"/>
      <c r="D911" s="13">
        <f>IFERROR(__xludf.DUMMYFUNCTION("""COMPUTED_VALUE"""),45428.0)</f>
        <v>45428</v>
      </c>
      <c r="E911" s="13">
        <f>IFERROR(__xludf.DUMMYFUNCTION("""COMPUTED_VALUE"""),45810.0)</f>
        <v>45810</v>
      </c>
      <c r="F911" s="13">
        <f>IFERROR(__xludf.DUMMYFUNCTION("""COMPUTED_VALUE"""),45810.0)</f>
        <v>45810</v>
      </c>
      <c r="G911" s="16" t="s">
        <v>5150</v>
      </c>
      <c r="H911" s="16" t="s">
        <v>5150</v>
      </c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 t="str">
        <f>IFERROR(__xludf.DUMMYFUNCTION("""COMPUTED_VALUE"""),"Varonis Systems Inc  Com")</f>
        <v>Varonis Systems Inc  Com</v>
      </c>
      <c r="B912" s="12" t="str">
        <f>IFERROR(__xludf.DUMMYFUNCTION("""COMPUTED_VALUE"""),"VRNS-US")</f>
        <v>VRNS-US</v>
      </c>
      <c r="C912" s="12"/>
      <c r="D912" s="13">
        <f>IFERROR(__xludf.DUMMYFUNCTION("""COMPUTED_VALUE"""),45428.0)</f>
        <v>45428</v>
      </c>
      <c r="E912" s="13">
        <f>IFERROR(__xludf.DUMMYFUNCTION("""COMPUTED_VALUE"""),45813.0)</f>
        <v>45813</v>
      </c>
      <c r="F912" s="13">
        <f>IFERROR(__xludf.DUMMYFUNCTION("""COMPUTED_VALUE"""),45813.0)</f>
        <v>45813</v>
      </c>
      <c r="G912" s="16" t="s">
        <v>5150</v>
      </c>
      <c r="H912" s="16" t="s">
        <v>5150</v>
      </c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 t="str">
        <f>IFERROR(__xludf.DUMMYFUNCTION("""COMPUTED_VALUE"""),"Sl Green Realty Corp  Com")</f>
        <v>Sl Green Realty Corp  Com</v>
      </c>
      <c r="B913" s="12" t="str">
        <f>IFERROR(__xludf.DUMMYFUNCTION("""COMPUTED_VALUE"""),"SLG-US")</f>
        <v>SLG-US</v>
      </c>
      <c r="C913" s="12"/>
      <c r="D913" s="13">
        <f>IFERROR(__xludf.DUMMYFUNCTION("""COMPUTED_VALUE"""),45063.0)</f>
        <v>45063</v>
      </c>
      <c r="E913" s="13">
        <f>IFERROR(__xludf.DUMMYFUNCTION("""COMPUTED_VALUE"""),45811.0)</f>
        <v>45811</v>
      </c>
      <c r="F913" s="13">
        <f>IFERROR(__xludf.DUMMYFUNCTION("""COMPUTED_VALUE"""),45811.0)</f>
        <v>45811</v>
      </c>
      <c r="G913" s="16" t="s">
        <v>5150</v>
      </c>
      <c r="H913" s="16" t="s">
        <v>5150</v>
      </c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 t="str">
        <f>IFERROR(__xludf.DUMMYFUNCTION("""COMPUTED_VALUE"""),"Macys Inc  Com")</f>
        <v>Macys Inc  Com</v>
      </c>
      <c r="B914" s="12" t="str">
        <f>IFERROR(__xludf.DUMMYFUNCTION("""COMPUTED_VALUE"""),"M-US")</f>
        <v>M-US</v>
      </c>
      <c r="C914" s="12"/>
      <c r="D914" s="13">
        <f>IFERROR(__xludf.DUMMYFUNCTION("""COMPUTED_VALUE"""),45429.0)</f>
        <v>45429</v>
      </c>
      <c r="E914" s="13">
        <f>IFERROR(__xludf.DUMMYFUNCTION("""COMPUTED_VALUE"""),45793.0)</f>
        <v>45793</v>
      </c>
      <c r="F914" s="13">
        <f>IFERROR(__xludf.DUMMYFUNCTION("""COMPUTED_VALUE"""),45793.0)</f>
        <v>45793</v>
      </c>
      <c r="G914" s="16" t="s">
        <v>5151</v>
      </c>
      <c r="H914" s="16" t="s">
        <v>5151</v>
      </c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 t="str">
        <f>IFERROR(__xludf.DUMMYFUNCTION("""COMPUTED_VALUE"""),"Zillow Group Inc  Cl A")</f>
        <v>Zillow Group Inc  Cl A</v>
      </c>
      <c r="B915" s="12" t="str">
        <f>IFERROR(__xludf.DUMMYFUNCTION("""COMPUTED_VALUE"""),"ZG-US")</f>
        <v>ZG-US</v>
      </c>
      <c r="C915" s="12"/>
      <c r="D915" s="13">
        <f>IFERROR(__xludf.DUMMYFUNCTION("""COMPUTED_VALUE"""),45429.0)</f>
        <v>45429</v>
      </c>
      <c r="E915" s="13">
        <f>IFERROR(__xludf.DUMMYFUNCTION("""COMPUTED_VALUE"""),45810.0)</f>
        <v>45810</v>
      </c>
      <c r="F915" s="13">
        <f>IFERROR(__xludf.DUMMYFUNCTION("""COMPUTED_VALUE"""),45810.0)</f>
        <v>45810</v>
      </c>
      <c r="G915" s="16" t="s">
        <v>5150</v>
      </c>
      <c r="H915" s="16" t="s">
        <v>5150</v>
      </c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 t="str">
        <f>IFERROR(__xludf.DUMMYFUNCTION("""COMPUTED_VALUE"""),"Par Technology Corp  Com")</f>
        <v>Par Technology Corp  Com</v>
      </c>
      <c r="B916" s="12" t="str">
        <f>IFERROR(__xludf.DUMMYFUNCTION("""COMPUTED_VALUE"""),"PAR-US")</f>
        <v>PAR-US</v>
      </c>
      <c r="C916" s="12"/>
      <c r="D916" s="13">
        <f>IFERROR(__xludf.DUMMYFUNCTION("""COMPUTED_VALUE"""),45429.0)</f>
        <v>45429</v>
      </c>
      <c r="E916" s="13">
        <f>IFERROR(__xludf.DUMMYFUNCTION("""COMPUTED_VALUE"""),45810.0)</f>
        <v>45810</v>
      </c>
      <c r="F916" s="13">
        <f>IFERROR(__xludf.DUMMYFUNCTION("""COMPUTED_VALUE"""),45810.0)</f>
        <v>45810</v>
      </c>
      <c r="G916" s="16" t="s">
        <v>5150</v>
      </c>
      <c r="H916" s="16" t="s">
        <v>5150</v>
      </c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 t="str">
        <f>IFERROR(__xludf.DUMMYFUNCTION("""COMPUTED_VALUE"""),"Outfront Media Inc  Com")</f>
        <v>Outfront Media Inc  Com</v>
      </c>
      <c r="B917" s="12" t="str">
        <f>IFERROR(__xludf.DUMMYFUNCTION("""COMPUTED_VALUE"""),"OUT-US")</f>
        <v>OUT-US</v>
      </c>
      <c r="C917" s="12"/>
      <c r="D917" s="13">
        <f>IFERROR(__xludf.DUMMYFUNCTION("""COMPUTED_VALUE"""),45429.0)</f>
        <v>45429</v>
      </c>
      <c r="E917" s="13">
        <f>IFERROR(__xludf.DUMMYFUNCTION("""COMPUTED_VALUE"""),45811.0)</f>
        <v>45811</v>
      </c>
      <c r="F917" s="13">
        <f>IFERROR(__xludf.DUMMYFUNCTION("""COMPUTED_VALUE"""),45811.0)</f>
        <v>45811</v>
      </c>
      <c r="G917" s="16" t="s">
        <v>5150</v>
      </c>
      <c r="H917" s="16" t="s">
        <v>5150</v>
      </c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 t="str">
        <f>IFERROR(__xludf.DUMMYFUNCTION("""COMPUTED_VALUE"""),"Recursion Pharmaceuticals Inc  Cl A")</f>
        <v>Recursion Pharmaceuticals Inc  Cl A</v>
      </c>
      <c r="B918" s="12" t="str">
        <f>IFERROR(__xludf.DUMMYFUNCTION("""COMPUTED_VALUE"""),"RXRX-US")</f>
        <v>RXRX-US</v>
      </c>
      <c r="C918" s="12"/>
      <c r="D918" s="13">
        <f>IFERROR(__xludf.DUMMYFUNCTION("""COMPUTED_VALUE"""),45429.0)</f>
        <v>45429</v>
      </c>
      <c r="E918" s="13">
        <f>IFERROR(__xludf.DUMMYFUNCTION("""COMPUTED_VALUE"""),45826.0)</f>
        <v>45826</v>
      </c>
      <c r="F918" s="13">
        <f>IFERROR(__xludf.DUMMYFUNCTION("""COMPUTED_VALUE"""),45826.0)</f>
        <v>45826</v>
      </c>
      <c r="G918" s="16" t="s">
        <v>5150</v>
      </c>
      <c r="H918" s="16" t="s">
        <v>5150</v>
      </c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 t="str">
        <f>IFERROR(__xludf.DUMMYFUNCTION("""COMPUTED_VALUE"""),"Acushnet Holdings Corp  Com")</f>
        <v>Acushnet Holdings Corp  Com</v>
      </c>
      <c r="B919" s="12" t="str">
        <f>IFERROR(__xludf.DUMMYFUNCTION("""COMPUTED_VALUE"""),"GOLF-US")</f>
        <v>GOLF-US</v>
      </c>
      <c r="C919" s="12"/>
      <c r="D919" s="13">
        <f>IFERROR(__xludf.DUMMYFUNCTION("""COMPUTED_VALUE"""),45429.0)</f>
        <v>45429</v>
      </c>
      <c r="E919" s="13">
        <f>IFERROR(__xludf.DUMMYFUNCTION("""COMPUTED_VALUE"""),45810.0)</f>
        <v>45810</v>
      </c>
      <c r="F919" s="13">
        <f>IFERROR(__xludf.DUMMYFUNCTION("""COMPUTED_VALUE"""),45810.0)</f>
        <v>45810</v>
      </c>
      <c r="G919" s="16" t="s">
        <v>5150</v>
      </c>
      <c r="H919" s="16" t="s">
        <v>5150</v>
      </c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 t="str">
        <f>IFERROR(__xludf.DUMMYFUNCTION("""COMPUTED_VALUE"""),"Lemaitre Vascular Inc  Com")</f>
        <v>Lemaitre Vascular Inc  Com</v>
      </c>
      <c r="B920" s="12" t="str">
        <f>IFERROR(__xludf.DUMMYFUNCTION("""COMPUTED_VALUE"""),"LMAT-US")</f>
        <v>LMAT-US</v>
      </c>
      <c r="C920" s="12"/>
      <c r="D920" s="13">
        <f>IFERROR(__xludf.DUMMYFUNCTION("""COMPUTED_VALUE"""),45429.0)</f>
        <v>45429</v>
      </c>
      <c r="E920" s="13">
        <f>IFERROR(__xludf.DUMMYFUNCTION("""COMPUTED_VALUE"""),45810.0)</f>
        <v>45810</v>
      </c>
      <c r="F920" s="13">
        <f>IFERROR(__xludf.DUMMYFUNCTION("""COMPUTED_VALUE"""),45810.0)</f>
        <v>45810</v>
      </c>
      <c r="G920" s="16" t="s">
        <v>5150</v>
      </c>
      <c r="H920" s="16" t="s">
        <v>5150</v>
      </c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 t="str">
        <f>IFERROR(__xludf.DUMMYFUNCTION("""COMPUTED_VALUE"""),"Grocery Outlet Holding Corp  Com")</f>
        <v>Grocery Outlet Holding Corp  Com</v>
      </c>
      <c r="B921" s="12" t="str">
        <f>IFERROR(__xludf.DUMMYFUNCTION("""COMPUTED_VALUE"""),"GO-US")</f>
        <v>GO-US</v>
      </c>
      <c r="C921" s="12"/>
      <c r="D921" s="13">
        <f>IFERROR(__xludf.DUMMYFUNCTION("""COMPUTED_VALUE"""),45429.0)</f>
        <v>45429</v>
      </c>
      <c r="E921" s="13">
        <f>IFERROR(__xludf.DUMMYFUNCTION("""COMPUTED_VALUE"""),45810.0)</f>
        <v>45810</v>
      </c>
      <c r="F921" s="13">
        <f>IFERROR(__xludf.DUMMYFUNCTION("""COMPUTED_VALUE"""),45810.0)</f>
        <v>45810</v>
      </c>
      <c r="G921" s="16" t="s">
        <v>5150</v>
      </c>
      <c r="H921" s="16" t="s">
        <v>5150</v>
      </c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 t="str">
        <f>IFERROR(__xludf.DUMMYFUNCTION("""COMPUTED_VALUE"""),"Amphastar Pharmaceuticals Inc  Com")</f>
        <v>Amphastar Pharmaceuticals Inc  Com</v>
      </c>
      <c r="B922" s="12" t="str">
        <f>IFERROR(__xludf.DUMMYFUNCTION("""COMPUTED_VALUE"""),"AMPH-US")</f>
        <v>AMPH-US</v>
      </c>
      <c r="C922" s="12"/>
      <c r="D922" s="13">
        <f>IFERROR(__xludf.DUMMYFUNCTION("""COMPUTED_VALUE"""),45429.0)</f>
        <v>45429</v>
      </c>
      <c r="E922" s="13">
        <f>IFERROR(__xludf.DUMMYFUNCTION("""COMPUTED_VALUE"""),45810.0)</f>
        <v>45810</v>
      </c>
      <c r="F922" s="13">
        <f>IFERROR(__xludf.DUMMYFUNCTION("""COMPUTED_VALUE"""),45810.0)</f>
        <v>45810</v>
      </c>
      <c r="G922" s="16" t="s">
        <v>5150</v>
      </c>
      <c r="H922" s="16" t="s">
        <v>5150</v>
      </c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 t="str">
        <f>IFERROR(__xludf.DUMMYFUNCTION("""COMPUTED_VALUE"""),"Buckle Inc  Com")</f>
        <v>Buckle Inc  Com</v>
      </c>
      <c r="B923" s="12" t="str">
        <f>IFERROR(__xludf.DUMMYFUNCTION("""COMPUTED_VALUE"""),"BKE-US")</f>
        <v>BKE-US</v>
      </c>
      <c r="C923" s="12"/>
      <c r="D923" s="13">
        <f>IFERROR(__xludf.DUMMYFUNCTION("""COMPUTED_VALUE"""),45429.0)</f>
        <v>45429</v>
      </c>
      <c r="E923" s="13">
        <f>IFERROR(__xludf.DUMMYFUNCTION("""COMPUTED_VALUE"""),45810.0)</f>
        <v>45810</v>
      </c>
      <c r="F923" s="13">
        <f>IFERROR(__xludf.DUMMYFUNCTION("""COMPUTED_VALUE"""),45810.0)</f>
        <v>45810</v>
      </c>
      <c r="G923" s="16" t="s">
        <v>5150</v>
      </c>
      <c r="H923" s="16" t="s">
        <v>5150</v>
      </c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 t="str">
        <f>IFERROR(__xludf.DUMMYFUNCTION("""COMPUTED_VALUE"""),"Lifestance Health Group Inc  Com")</f>
        <v>Lifestance Health Group Inc  Com</v>
      </c>
      <c r="B924" s="12" t="str">
        <f>IFERROR(__xludf.DUMMYFUNCTION("""COMPUTED_VALUE"""),"LFST-US")</f>
        <v>LFST-US</v>
      </c>
      <c r="C924" s="12"/>
      <c r="D924" s="13">
        <f>IFERROR(__xludf.DUMMYFUNCTION("""COMPUTED_VALUE"""),45429.0)</f>
        <v>45429</v>
      </c>
      <c r="E924" s="13">
        <f>IFERROR(__xludf.DUMMYFUNCTION("""COMPUTED_VALUE"""),45811.0)</f>
        <v>45811</v>
      </c>
      <c r="F924" s="13">
        <f>IFERROR(__xludf.DUMMYFUNCTION("""COMPUTED_VALUE"""),45811.0)</f>
        <v>45811</v>
      </c>
      <c r="G924" s="16" t="s">
        <v>5150</v>
      </c>
      <c r="H924" s="16" t="s">
        <v>5150</v>
      </c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 t="str">
        <f>IFERROR(__xludf.DUMMYFUNCTION("""COMPUTED_VALUE"""),"American Assets Trust Inc  Com")</f>
        <v>American Assets Trust Inc  Com</v>
      </c>
      <c r="B925" s="12" t="str">
        <f>IFERROR(__xludf.DUMMYFUNCTION("""COMPUTED_VALUE"""),"AAT-US")</f>
        <v>AAT-US</v>
      </c>
      <c r="C925" s="12"/>
      <c r="D925" s="13">
        <f>IFERROR(__xludf.DUMMYFUNCTION("""COMPUTED_VALUE"""),45429.0)</f>
        <v>45429</v>
      </c>
      <c r="E925" s="13">
        <f>IFERROR(__xludf.DUMMYFUNCTION("""COMPUTED_VALUE"""),45810.0)</f>
        <v>45810</v>
      </c>
      <c r="F925" s="13">
        <f>IFERROR(__xludf.DUMMYFUNCTION("""COMPUTED_VALUE"""),45810.0)</f>
        <v>45810</v>
      </c>
      <c r="G925" s="16" t="s">
        <v>5150</v>
      </c>
      <c r="H925" s="16" t="s">
        <v>5150</v>
      </c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 t="str">
        <f>IFERROR(__xludf.DUMMYFUNCTION("""COMPUTED_VALUE"""),"Barrett Business Services Inc  Com")</f>
        <v>Barrett Business Services Inc  Com</v>
      </c>
      <c r="B926" s="12" t="str">
        <f>IFERROR(__xludf.DUMMYFUNCTION("""COMPUTED_VALUE"""),"BBSI-US")</f>
        <v>BBSI-US</v>
      </c>
      <c r="C926" s="12"/>
      <c r="D926" s="13">
        <f>IFERROR(__xludf.DUMMYFUNCTION("""COMPUTED_VALUE"""),45429.0)</f>
        <v>45429</v>
      </c>
      <c r="E926" s="13">
        <f>IFERROR(__xludf.DUMMYFUNCTION("""COMPUTED_VALUE"""),45810.0)</f>
        <v>45810</v>
      </c>
      <c r="F926" s="13">
        <f>IFERROR(__xludf.DUMMYFUNCTION("""COMPUTED_VALUE"""),45810.0)</f>
        <v>45810</v>
      </c>
      <c r="G926" s="16" t="s">
        <v>5150</v>
      </c>
      <c r="H926" s="16" t="s">
        <v>5150</v>
      </c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 t="str">
        <f>IFERROR(__xludf.DUMMYFUNCTION("""COMPUTED_VALUE"""),"Century Aluminum Co  Com")</f>
        <v>Century Aluminum Co  Com</v>
      </c>
      <c r="B927" s="12" t="str">
        <f>IFERROR(__xludf.DUMMYFUNCTION("""COMPUTED_VALUE"""),"CENX-US")</f>
        <v>CENX-US</v>
      </c>
      <c r="C927" s="12"/>
      <c r="D927" s="13">
        <f>IFERROR(__xludf.DUMMYFUNCTION("""COMPUTED_VALUE"""),45429.0)</f>
        <v>45429</v>
      </c>
      <c r="E927" s="13">
        <f>IFERROR(__xludf.DUMMYFUNCTION("""COMPUTED_VALUE"""),45824.0)</f>
        <v>45824</v>
      </c>
      <c r="F927" s="13">
        <f>IFERROR(__xludf.DUMMYFUNCTION("""COMPUTED_VALUE"""),45824.0)</f>
        <v>45824</v>
      </c>
      <c r="G927" s="16" t="s">
        <v>5150</v>
      </c>
      <c r="H927" s="16" t="s">
        <v>5150</v>
      </c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 t="str">
        <f>IFERROR(__xludf.DUMMYFUNCTION("""COMPUTED_VALUE"""),"Nextdecade Corp  Com")</f>
        <v>Nextdecade Corp  Com</v>
      </c>
      <c r="B928" s="12" t="str">
        <f>IFERROR(__xludf.DUMMYFUNCTION("""COMPUTED_VALUE"""),"NEXT-US")</f>
        <v>NEXT-US</v>
      </c>
      <c r="C928" s="12"/>
      <c r="D928" s="13">
        <f>IFERROR(__xludf.DUMMYFUNCTION("""COMPUTED_VALUE"""),45429.0)</f>
        <v>45429</v>
      </c>
      <c r="E928" s="13">
        <f>IFERROR(__xludf.DUMMYFUNCTION("""COMPUTED_VALUE"""),45812.0)</f>
        <v>45812</v>
      </c>
      <c r="F928" s="13">
        <f>IFERROR(__xludf.DUMMYFUNCTION("""COMPUTED_VALUE"""),45812.0)</f>
        <v>45812</v>
      </c>
      <c r="G928" s="16" t="s">
        <v>5150</v>
      </c>
      <c r="H928" s="16" t="s">
        <v>5150</v>
      </c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 t="str">
        <f>IFERROR(__xludf.DUMMYFUNCTION("""COMPUTED_VALUE"""),"Forward Air Corp  Com")</f>
        <v>Forward Air Corp  Com</v>
      </c>
      <c r="B929" s="12" t="str">
        <f>IFERROR(__xludf.DUMMYFUNCTION("""COMPUTED_VALUE"""),"FWRD-US")</f>
        <v>FWRD-US</v>
      </c>
      <c r="C929" s="12"/>
      <c r="D929" s="13">
        <f>IFERROR(__xludf.DUMMYFUNCTION("""COMPUTED_VALUE"""),45429.0)</f>
        <v>45429</v>
      </c>
      <c r="E929" s="13">
        <f>IFERROR(__xludf.DUMMYFUNCTION("""COMPUTED_VALUE"""),45819.0)</f>
        <v>45819</v>
      </c>
      <c r="F929" s="13">
        <f>IFERROR(__xludf.DUMMYFUNCTION("""COMPUTED_VALUE"""),45819.0)</f>
        <v>45819</v>
      </c>
      <c r="G929" s="16" t="s">
        <v>5152</v>
      </c>
      <c r="H929" s="16" t="s">
        <v>5152</v>
      </c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 t="str">
        <f>IFERROR(__xludf.DUMMYFUNCTION("""COMPUTED_VALUE"""),"Udemy Inc  Com")</f>
        <v>Udemy Inc  Com</v>
      </c>
      <c r="B930" s="12" t="str">
        <f>IFERROR(__xludf.DUMMYFUNCTION("""COMPUTED_VALUE"""),"UDMY-US")</f>
        <v>UDMY-US</v>
      </c>
      <c r="C930" s="12"/>
      <c r="D930" s="13">
        <f>IFERROR(__xludf.DUMMYFUNCTION("""COMPUTED_VALUE"""),45429.0)</f>
        <v>45429</v>
      </c>
      <c r="E930" s="13">
        <f>IFERROR(__xludf.DUMMYFUNCTION("""COMPUTED_VALUE"""),45824.0)</f>
        <v>45824</v>
      </c>
      <c r="F930" s="13">
        <f>IFERROR(__xludf.DUMMYFUNCTION("""COMPUTED_VALUE"""),45824.0)</f>
        <v>45824</v>
      </c>
      <c r="G930" s="16" t="s">
        <v>5150</v>
      </c>
      <c r="H930" s="16" t="s">
        <v>5150</v>
      </c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 t="str">
        <f>IFERROR(__xludf.DUMMYFUNCTION("""COMPUTED_VALUE"""),"Dave Inc  Cl A")</f>
        <v>Dave Inc  Cl A</v>
      </c>
      <c r="B931" s="12" t="str">
        <f>IFERROR(__xludf.DUMMYFUNCTION("""COMPUTED_VALUE"""),"DAVE-US")</f>
        <v>DAVE-US</v>
      </c>
      <c r="C931" s="12"/>
      <c r="D931" s="13">
        <f>IFERROR(__xludf.DUMMYFUNCTION("""COMPUTED_VALUE"""),45429.0)</f>
        <v>45429</v>
      </c>
      <c r="E931" s="13">
        <f>IFERROR(__xludf.DUMMYFUNCTION("""COMPUTED_VALUE"""),45810.0)</f>
        <v>45810</v>
      </c>
      <c r="F931" s="13">
        <f>IFERROR(__xludf.DUMMYFUNCTION("""COMPUTED_VALUE"""),45810.0)</f>
        <v>45810</v>
      </c>
      <c r="G931" s="16" t="s">
        <v>5150</v>
      </c>
      <c r="H931" s="16" t="s">
        <v>5150</v>
      </c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 t="str">
        <f>IFERROR(__xludf.DUMMYFUNCTION("""COMPUTED_VALUE"""),"Teekay Corp Ltd  Com")</f>
        <v>Teekay Corp Ltd  Com</v>
      </c>
      <c r="B932" s="12" t="str">
        <f>IFERROR(__xludf.DUMMYFUNCTION("""COMPUTED_VALUE"""),"TK-US")</f>
        <v>TK-US</v>
      </c>
      <c r="C932" s="12"/>
      <c r="D932" s="13">
        <f>IFERROR(__xludf.DUMMYFUNCTION("""COMPUTED_VALUE"""),45429.0)</f>
        <v>45429</v>
      </c>
      <c r="E932" s="13">
        <f>IFERROR(__xludf.DUMMYFUNCTION("""COMPUTED_VALUE"""),45833.0)</f>
        <v>45833</v>
      </c>
      <c r="F932" s="13">
        <f>IFERROR(__xludf.DUMMYFUNCTION("""COMPUTED_VALUE"""),45833.0)</f>
        <v>45833</v>
      </c>
      <c r="G932" s="16" t="s">
        <v>5152</v>
      </c>
      <c r="H932" s="16" t="s">
        <v>5152</v>
      </c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 t="str">
        <f>IFERROR(__xludf.DUMMYFUNCTION("""COMPUTED_VALUE"""),"Gannett Co Inc  Com")</f>
        <v>Gannett Co Inc  Com</v>
      </c>
      <c r="B933" s="12" t="str">
        <f>IFERROR(__xludf.DUMMYFUNCTION("""COMPUTED_VALUE"""),"GCI-US")</f>
        <v>GCI-US</v>
      </c>
      <c r="C933" s="12"/>
      <c r="D933" s="13">
        <f>IFERROR(__xludf.DUMMYFUNCTION("""COMPUTED_VALUE"""),45429.0)</f>
        <v>45429</v>
      </c>
      <c r="E933" s="13">
        <f>IFERROR(__xludf.DUMMYFUNCTION("""COMPUTED_VALUE"""),45810.0)</f>
        <v>45810</v>
      </c>
      <c r="F933" s="13">
        <f>IFERROR(__xludf.DUMMYFUNCTION("""COMPUTED_VALUE"""),45810.0)</f>
        <v>45810</v>
      </c>
      <c r="G933" s="16" t="s">
        <v>5150</v>
      </c>
      <c r="H933" s="16" t="s">
        <v>5150</v>
      </c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 t="str">
        <f>IFERROR(__xludf.DUMMYFUNCTION("""COMPUTED_VALUE"""),"Portillos Inc  Cl A")</f>
        <v>Portillos Inc  Cl A</v>
      </c>
      <c r="B934" s="12" t="str">
        <f>IFERROR(__xludf.DUMMYFUNCTION("""COMPUTED_VALUE"""),"PTLO-US")</f>
        <v>PTLO-US</v>
      </c>
      <c r="C934" s="12"/>
      <c r="D934" s="13">
        <f>IFERROR(__xludf.DUMMYFUNCTION("""COMPUTED_VALUE"""),45429.0)</f>
        <v>45429</v>
      </c>
      <c r="E934" s="13">
        <f>IFERROR(__xludf.DUMMYFUNCTION("""COMPUTED_VALUE"""),45818.0)</f>
        <v>45818</v>
      </c>
      <c r="F934" s="13">
        <f>IFERROR(__xludf.DUMMYFUNCTION("""COMPUTED_VALUE"""),45818.0)</f>
        <v>45818</v>
      </c>
      <c r="G934" s="16" t="s">
        <v>5150</v>
      </c>
      <c r="H934" s="16" t="s">
        <v>5150</v>
      </c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 t="str">
        <f>IFERROR(__xludf.DUMMYFUNCTION("""COMPUTED_VALUE"""),"Relay Therapeutics Inc  Com")</f>
        <v>Relay Therapeutics Inc  Com</v>
      </c>
      <c r="B935" s="12" t="str">
        <f>IFERROR(__xludf.DUMMYFUNCTION("""COMPUTED_VALUE"""),"RLAY-US")</f>
        <v>RLAY-US</v>
      </c>
      <c r="C935" s="12"/>
      <c r="D935" s="13">
        <f>IFERROR(__xludf.DUMMYFUNCTION("""COMPUTED_VALUE"""),45429.0)</f>
        <v>45429</v>
      </c>
      <c r="E935" s="13">
        <f>IFERROR(__xludf.DUMMYFUNCTION("""COMPUTED_VALUE"""),45814.0)</f>
        <v>45814</v>
      </c>
      <c r="F935" s="13">
        <f>IFERROR(__xludf.DUMMYFUNCTION("""COMPUTED_VALUE"""),45814.0)</f>
        <v>45814</v>
      </c>
      <c r="G935" s="16" t="s">
        <v>5150</v>
      </c>
      <c r="H935" s="16" t="s">
        <v>5150</v>
      </c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 t="str">
        <f>IFERROR(__xludf.DUMMYFUNCTION("""COMPUTED_VALUE"""),"Titan Machinery Inc  Com")</f>
        <v>Titan Machinery Inc  Com</v>
      </c>
      <c r="B936" s="12" t="str">
        <f>IFERROR(__xludf.DUMMYFUNCTION("""COMPUTED_VALUE"""),"TITN-US")</f>
        <v>TITN-US</v>
      </c>
      <c r="C936" s="12"/>
      <c r="D936" s="13">
        <f>IFERROR(__xludf.DUMMYFUNCTION("""COMPUTED_VALUE"""),45429.0)</f>
        <v>45429</v>
      </c>
      <c r="E936" s="13">
        <f>IFERROR(__xludf.DUMMYFUNCTION("""COMPUTED_VALUE"""),45810.0)</f>
        <v>45810</v>
      </c>
      <c r="F936" s="13">
        <f>IFERROR(__xludf.DUMMYFUNCTION("""COMPUTED_VALUE"""),45810.0)</f>
        <v>45810</v>
      </c>
      <c r="G936" s="16" t="s">
        <v>5150</v>
      </c>
      <c r="H936" s="16" t="s">
        <v>5150</v>
      </c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 t="str">
        <f>IFERROR(__xludf.DUMMYFUNCTION("""COMPUTED_VALUE"""),"Cabaletta Bio Inc  Com")</f>
        <v>Cabaletta Bio Inc  Com</v>
      </c>
      <c r="B937" s="12" t="str">
        <f>IFERROR(__xludf.DUMMYFUNCTION("""COMPUTED_VALUE"""),"CABA-US")</f>
        <v>CABA-US</v>
      </c>
      <c r="C937" s="12"/>
      <c r="D937" s="13">
        <f>IFERROR(__xludf.DUMMYFUNCTION("""COMPUTED_VALUE"""),45429.0)</f>
        <v>45429</v>
      </c>
      <c r="E937" s="13">
        <f>IFERROR(__xludf.DUMMYFUNCTION("""COMPUTED_VALUE"""),45817.0)</f>
        <v>45817</v>
      </c>
      <c r="F937" s="13">
        <f>IFERROR(__xludf.DUMMYFUNCTION("""COMPUTED_VALUE"""),45817.0)</f>
        <v>45817</v>
      </c>
      <c r="G937" s="16" t="s">
        <v>5150</v>
      </c>
      <c r="H937" s="16" t="s">
        <v>5150</v>
      </c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 t="str">
        <f>IFERROR(__xludf.DUMMYFUNCTION("""COMPUTED_VALUE"""),"Lowes Cos Inc  Com")</f>
        <v>Lowes Cos Inc  Com</v>
      </c>
      <c r="B938" s="12" t="str">
        <f>IFERROR(__xludf.DUMMYFUNCTION("""COMPUTED_VALUE"""),"LOW-US")</f>
        <v>LOW-US</v>
      </c>
      <c r="C938" s="12"/>
      <c r="D938" s="13">
        <f>IFERROR(__xludf.DUMMYFUNCTION("""COMPUTED_VALUE"""),45064.0)</f>
        <v>45064</v>
      </c>
      <c r="E938" s="13">
        <f>IFERROR(__xludf.DUMMYFUNCTION("""COMPUTED_VALUE"""),45807.0)</f>
        <v>45807</v>
      </c>
      <c r="F938" s="13">
        <f>IFERROR(__xludf.DUMMYFUNCTION("""COMPUTED_VALUE"""),45807.0)</f>
        <v>45807</v>
      </c>
      <c r="G938" s="16" t="s">
        <v>5150</v>
      </c>
      <c r="H938" s="16" t="s">
        <v>5150</v>
      </c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 t="str">
        <f>IFERROR(__xludf.DUMMYFUNCTION("""COMPUTED_VALUE"""),"Amgen Inc  Com")</f>
        <v>Amgen Inc  Com</v>
      </c>
      <c r="B939" s="12" t="str">
        <f>IFERROR(__xludf.DUMMYFUNCTION("""COMPUTED_VALUE"""),"AMGN-US")</f>
        <v>AMGN-US</v>
      </c>
      <c r="C939" s="12"/>
      <c r="D939" s="13">
        <f>IFERROR(__xludf.DUMMYFUNCTION("""COMPUTED_VALUE"""),45430.0)</f>
        <v>45430</v>
      </c>
      <c r="E939" s="13">
        <f>IFERROR(__xludf.DUMMYFUNCTION("""COMPUTED_VALUE"""),45800.0)</f>
        <v>45800</v>
      </c>
      <c r="F939" s="13">
        <f>IFERROR(__xludf.DUMMYFUNCTION("""COMPUTED_VALUE"""),45800.0)</f>
        <v>45800</v>
      </c>
      <c r="G939" s="16" t="s">
        <v>5150</v>
      </c>
      <c r="H939" s="16" t="s">
        <v>5150</v>
      </c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 t="str">
        <f>IFERROR(__xludf.DUMMYFUNCTION("""COMPUTED_VALUE"""),"Epam Systems Inc  Com")</f>
        <v>Epam Systems Inc  Com</v>
      </c>
      <c r="B940" s="12" t="str">
        <f>IFERROR(__xludf.DUMMYFUNCTION("""COMPUTED_VALUE"""),"EPAM-US")</f>
        <v>EPAM-US</v>
      </c>
      <c r="C940" s="12"/>
      <c r="D940" s="13">
        <f>IFERROR(__xludf.DUMMYFUNCTION("""COMPUTED_VALUE"""),45432.0)</f>
        <v>45432</v>
      </c>
      <c r="E940" s="13">
        <f>IFERROR(__xludf.DUMMYFUNCTION("""COMPUTED_VALUE"""),45799.0)</f>
        <v>45799</v>
      </c>
      <c r="F940" s="13">
        <f>IFERROR(__xludf.DUMMYFUNCTION("""COMPUTED_VALUE"""),45799.0)</f>
        <v>45799</v>
      </c>
      <c r="G940" s="16" t="s">
        <v>5150</v>
      </c>
      <c r="H940" s="16" t="s">
        <v>5150</v>
      </c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 t="str">
        <f>IFERROR(__xludf.DUMMYFUNCTION("""COMPUTED_VALUE"""),"Alkermes Plc  Com")</f>
        <v>Alkermes Plc  Com</v>
      </c>
      <c r="B941" s="12" t="str">
        <f>IFERROR(__xludf.DUMMYFUNCTION("""COMPUTED_VALUE"""),"ALKS-US")</f>
        <v>ALKS-US</v>
      </c>
      <c r="C941" s="12"/>
      <c r="D941" s="13">
        <f>IFERROR(__xludf.DUMMYFUNCTION("""COMPUTED_VALUE"""),45432.0)</f>
        <v>45432</v>
      </c>
      <c r="E941" s="13">
        <f>IFERROR(__xludf.DUMMYFUNCTION("""COMPUTED_VALUE"""),45798.0)</f>
        <v>45798</v>
      </c>
      <c r="F941" s="13">
        <f>IFERROR(__xludf.DUMMYFUNCTION("""COMPUTED_VALUE"""),45798.0)</f>
        <v>45798</v>
      </c>
      <c r="G941" s="16" t="s">
        <v>5150</v>
      </c>
      <c r="H941" s="16" t="s">
        <v>5150</v>
      </c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 t="str">
        <f>IFERROR(__xludf.DUMMYFUNCTION("""COMPUTED_VALUE"""),"Denali Therapeutics Inc  Com")</f>
        <v>Denali Therapeutics Inc  Com</v>
      </c>
      <c r="B942" s="12" t="str">
        <f>IFERROR(__xludf.DUMMYFUNCTION("""COMPUTED_VALUE"""),"DNLI-US")</f>
        <v>DNLI-US</v>
      </c>
      <c r="C942" s="12"/>
      <c r="D942" s="13">
        <f>IFERROR(__xludf.DUMMYFUNCTION("""COMPUTED_VALUE"""),45432.0)</f>
        <v>45432</v>
      </c>
      <c r="E942" s="13">
        <f>IFERROR(__xludf.DUMMYFUNCTION("""COMPUTED_VALUE"""),45811.0)</f>
        <v>45811</v>
      </c>
      <c r="F942" s="13">
        <f>IFERROR(__xludf.DUMMYFUNCTION("""COMPUTED_VALUE"""),45811.0)</f>
        <v>45811</v>
      </c>
      <c r="G942" s="16" t="s">
        <v>5150</v>
      </c>
      <c r="H942" s="16" t="s">
        <v>5150</v>
      </c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 t="str">
        <f>IFERROR(__xludf.DUMMYFUNCTION("""COMPUTED_VALUE"""),"Ideaya Biosciences Inc  Com")</f>
        <v>Ideaya Biosciences Inc  Com</v>
      </c>
      <c r="B943" s="12" t="str">
        <f>IFERROR(__xludf.DUMMYFUNCTION("""COMPUTED_VALUE"""),"IDYA-US")</f>
        <v>IDYA-US</v>
      </c>
      <c r="C943" s="12"/>
      <c r="D943" s="13">
        <f>IFERROR(__xludf.DUMMYFUNCTION("""COMPUTED_VALUE"""),45432.0)</f>
        <v>45432</v>
      </c>
      <c r="E943" s="13">
        <f>IFERROR(__xludf.DUMMYFUNCTION("""COMPUTED_VALUE"""),45832.0)</f>
        <v>45832</v>
      </c>
      <c r="F943" s="13">
        <f>IFERROR(__xludf.DUMMYFUNCTION("""COMPUTED_VALUE"""),45832.0)</f>
        <v>45832</v>
      </c>
      <c r="G943" s="16" t="s">
        <v>5150</v>
      </c>
      <c r="H943" s="16" t="s">
        <v>5150</v>
      </c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 t="str">
        <f>IFERROR(__xludf.DUMMYFUNCTION("""COMPUTED_VALUE"""),"Armour Residential Reit Inc  Com")</f>
        <v>Armour Residential Reit Inc  Com</v>
      </c>
      <c r="B944" s="12" t="str">
        <f>IFERROR(__xludf.DUMMYFUNCTION("""COMPUTED_VALUE"""),"ARR-US")</f>
        <v>ARR-US</v>
      </c>
      <c r="C944" s="12"/>
      <c r="D944" s="13">
        <f>IFERROR(__xludf.DUMMYFUNCTION("""COMPUTED_VALUE"""),45432.0)</f>
        <v>45432</v>
      </c>
      <c r="E944" s="13">
        <f>IFERROR(__xludf.DUMMYFUNCTION("""COMPUTED_VALUE"""),45778.0)</f>
        <v>45778</v>
      </c>
      <c r="F944" s="13">
        <f>IFERROR(__xludf.DUMMYFUNCTION("""COMPUTED_VALUE"""),45778.0)</f>
        <v>45778</v>
      </c>
      <c r="G944" s="16" t="s">
        <v>5150</v>
      </c>
      <c r="H944" s="16" t="s">
        <v>5150</v>
      </c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 t="str">
        <f>IFERROR(__xludf.DUMMYFUNCTION("""COMPUTED_VALUE"""),"Cadre Holdings Inc  Com")</f>
        <v>Cadre Holdings Inc  Com</v>
      </c>
      <c r="B945" s="12" t="str">
        <f>IFERROR(__xludf.DUMMYFUNCTION("""COMPUTED_VALUE"""),"CDRE-US")</f>
        <v>CDRE-US</v>
      </c>
      <c r="C945" s="12"/>
      <c r="D945" s="13">
        <f>IFERROR(__xludf.DUMMYFUNCTION("""COMPUTED_VALUE"""),45432.0)</f>
        <v>45432</v>
      </c>
      <c r="E945" s="13">
        <f>IFERROR(__xludf.DUMMYFUNCTION("""COMPUTED_VALUE"""),45807.0)</f>
        <v>45807</v>
      </c>
      <c r="F945" s="13">
        <f>IFERROR(__xludf.DUMMYFUNCTION("""COMPUTED_VALUE"""),45807.0)</f>
        <v>45807</v>
      </c>
      <c r="G945" s="16" t="s">
        <v>5150</v>
      </c>
      <c r="H945" s="16" t="s">
        <v>5150</v>
      </c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 t="str">
        <f>IFERROR(__xludf.DUMMYFUNCTION("""COMPUTED_VALUE"""),"Diversified Healthcare Trust  Sbi")</f>
        <v>Diversified Healthcare Trust  Sbi</v>
      </c>
      <c r="B946" s="12" t="str">
        <f>IFERROR(__xludf.DUMMYFUNCTION("""COMPUTED_VALUE"""),"DHC-US")</f>
        <v>DHC-US</v>
      </c>
      <c r="C946" s="12"/>
      <c r="D946" s="13">
        <f>IFERROR(__xludf.DUMMYFUNCTION("""COMPUTED_VALUE"""),45432.0)</f>
        <v>45432</v>
      </c>
      <c r="E946" s="13">
        <f>IFERROR(__xludf.DUMMYFUNCTION("""COMPUTED_VALUE"""),45806.0)</f>
        <v>45806</v>
      </c>
      <c r="F946" s="13">
        <f>IFERROR(__xludf.DUMMYFUNCTION("""COMPUTED_VALUE"""),45806.0)</f>
        <v>45806</v>
      </c>
      <c r="G946" s="16" t="s">
        <v>5150</v>
      </c>
      <c r="H946" s="16" t="s">
        <v>5150</v>
      </c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 t="str">
        <f>IFERROR(__xludf.DUMMYFUNCTION("""COMPUTED_VALUE"""),"Pubmatic Inc  Cl A")</f>
        <v>Pubmatic Inc  Cl A</v>
      </c>
      <c r="B947" s="12" t="str">
        <f>IFERROR(__xludf.DUMMYFUNCTION("""COMPUTED_VALUE"""),"PUBM-US")</f>
        <v>PUBM-US</v>
      </c>
      <c r="C947" s="12"/>
      <c r="D947" s="13">
        <f>IFERROR(__xludf.DUMMYFUNCTION("""COMPUTED_VALUE"""),45432.0)</f>
        <v>45432</v>
      </c>
      <c r="E947" s="13">
        <f>IFERROR(__xludf.DUMMYFUNCTION("""COMPUTED_VALUE"""),45807.0)</f>
        <v>45807</v>
      </c>
      <c r="F947" s="13">
        <f>IFERROR(__xludf.DUMMYFUNCTION("""COMPUTED_VALUE"""),45807.0)</f>
        <v>45807</v>
      </c>
      <c r="G947" s="16" t="s">
        <v>5150</v>
      </c>
      <c r="H947" s="16" t="s">
        <v>5150</v>
      </c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 t="str">
        <f>IFERROR(__xludf.DUMMYFUNCTION("""COMPUTED_VALUE"""),"Evolv Technologies Hldgs Inc  Cl A")</f>
        <v>Evolv Technologies Hldgs Inc  Cl A</v>
      </c>
      <c r="B948" s="12" t="str">
        <f>IFERROR(__xludf.DUMMYFUNCTION("""COMPUTED_VALUE"""),"EVLV-US")</f>
        <v>EVLV-US</v>
      </c>
      <c r="C948" s="12"/>
      <c r="D948" s="13">
        <f>IFERROR(__xludf.DUMMYFUNCTION("""COMPUTED_VALUE"""),45432.0)</f>
        <v>45432</v>
      </c>
      <c r="E948" s="13">
        <f>IFERROR(__xludf.DUMMYFUNCTION("""COMPUTED_VALUE"""),45828.0)</f>
        <v>45828</v>
      </c>
      <c r="F948" s="13">
        <f>IFERROR(__xludf.DUMMYFUNCTION("""COMPUTED_VALUE"""),45828.0)</f>
        <v>45828</v>
      </c>
      <c r="G948" s="16" t="s">
        <v>5150</v>
      </c>
      <c r="H948" s="16" t="s">
        <v>5150</v>
      </c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 t="str">
        <f>IFERROR(__xludf.DUMMYFUNCTION("""COMPUTED_VALUE"""),"Real Brokerage Inc  Com")</f>
        <v>Real Brokerage Inc  Com</v>
      </c>
      <c r="B949" s="12" t="str">
        <f>IFERROR(__xludf.DUMMYFUNCTION("""COMPUTED_VALUE"""),"REAX-US")</f>
        <v>REAX-US</v>
      </c>
      <c r="C949" s="12"/>
      <c r="D949" s="13">
        <f>IFERROR(__xludf.DUMMYFUNCTION("""COMPUTED_VALUE"""),45432.0)</f>
        <v>45432</v>
      </c>
      <c r="E949" s="13">
        <f>IFERROR(__xludf.DUMMYFUNCTION("""COMPUTED_VALUE"""),45807.0)</f>
        <v>45807</v>
      </c>
      <c r="F949" s="13">
        <f>IFERROR(__xludf.DUMMYFUNCTION("""COMPUTED_VALUE"""),45807.0)</f>
        <v>45807</v>
      </c>
      <c r="G949" s="16" t="s">
        <v>5151</v>
      </c>
      <c r="H949" s="16" t="s">
        <v>5151</v>
      </c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 t="str">
        <f>IFERROR(__xludf.DUMMYFUNCTION("""COMPUTED_VALUE"""),"Regenxbio Inc  Com")</f>
        <v>Regenxbio Inc  Com</v>
      </c>
      <c r="B950" s="12" t="str">
        <f>IFERROR(__xludf.DUMMYFUNCTION("""COMPUTED_VALUE"""),"RGNX-US")</f>
        <v>RGNX-US</v>
      </c>
      <c r="C950" s="12"/>
      <c r="D950" s="13">
        <f>IFERROR(__xludf.DUMMYFUNCTION("""COMPUTED_VALUE"""),45432.0)</f>
        <v>45432</v>
      </c>
      <c r="E950" s="13">
        <f>IFERROR(__xludf.DUMMYFUNCTION("""COMPUTED_VALUE"""),45807.0)</f>
        <v>45807</v>
      </c>
      <c r="F950" s="13">
        <f>IFERROR(__xludf.DUMMYFUNCTION("""COMPUTED_VALUE"""),45807.0)</f>
        <v>45807</v>
      </c>
      <c r="G950" s="16" t="s">
        <v>5150</v>
      </c>
      <c r="H950" s="16" t="s">
        <v>5150</v>
      </c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 t="str">
        <f>IFERROR(__xludf.DUMMYFUNCTION("""COMPUTED_VALUE"""),"Perspective Therapeutics Inc  Com")</f>
        <v>Perspective Therapeutics Inc  Com</v>
      </c>
      <c r="B951" s="12" t="str">
        <f>IFERROR(__xludf.DUMMYFUNCTION("""COMPUTED_VALUE"""),"CATX-US")</f>
        <v>CATX-US</v>
      </c>
      <c r="C951" s="12"/>
      <c r="D951" s="13">
        <f>IFERROR(__xludf.DUMMYFUNCTION("""COMPUTED_VALUE"""),45432.0)</f>
        <v>45432</v>
      </c>
      <c r="E951" s="13">
        <f>IFERROR(__xludf.DUMMYFUNCTION("""COMPUTED_VALUE"""),45805.0)</f>
        <v>45805</v>
      </c>
      <c r="F951" s="13">
        <f>IFERROR(__xludf.DUMMYFUNCTION("""COMPUTED_VALUE"""),45805.0)</f>
        <v>45805</v>
      </c>
      <c r="G951" s="16" t="s">
        <v>5150</v>
      </c>
      <c r="H951" s="16" t="s">
        <v>5150</v>
      </c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 t="str">
        <f>IFERROR(__xludf.DUMMYFUNCTION("""COMPUTED_VALUE"""),"Roblox Corp  Cl A")</f>
        <v>Roblox Corp  Cl A</v>
      </c>
      <c r="B952" s="12" t="str">
        <f>IFERROR(__xludf.DUMMYFUNCTION("""COMPUTED_VALUE"""),"RBLX-US")</f>
        <v>RBLX-US</v>
      </c>
      <c r="C952" s="12"/>
      <c r="D952" s="13">
        <f>IFERROR(__xludf.DUMMYFUNCTION("""COMPUTED_VALUE"""),45432.0)</f>
        <v>45432</v>
      </c>
      <c r="E952" s="13">
        <f>IFERROR(__xludf.DUMMYFUNCTION("""COMPUTED_VALUE"""),45806.0)</f>
        <v>45806</v>
      </c>
      <c r="F952" s="13">
        <f>IFERROR(__xludf.DUMMYFUNCTION("""COMPUTED_VALUE"""),45806.0)</f>
        <v>45806</v>
      </c>
      <c r="G952" s="16" t="s">
        <v>5150</v>
      </c>
      <c r="H952" s="16" t="s">
        <v>5150</v>
      </c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 t="str">
        <f>IFERROR(__xludf.DUMMYFUNCTION("""COMPUTED_VALUE"""),"Iron Mountain Inc  Com")</f>
        <v>Iron Mountain Inc  Com</v>
      </c>
      <c r="B953" s="12" t="str">
        <f>IFERROR(__xludf.DUMMYFUNCTION("""COMPUTED_VALUE"""),"IRM-US")</f>
        <v>IRM-US</v>
      </c>
      <c r="C953" s="12"/>
      <c r="D953" s="13">
        <f>IFERROR(__xludf.DUMMYFUNCTION("""COMPUTED_VALUE"""),45432.0)</f>
        <v>45432</v>
      </c>
      <c r="E953" s="13">
        <f>IFERROR(__xludf.DUMMYFUNCTION("""COMPUTED_VALUE"""),45806.0)</f>
        <v>45806</v>
      </c>
      <c r="F953" s="13">
        <f>IFERROR(__xludf.DUMMYFUNCTION("""COMPUTED_VALUE"""),45806.0)</f>
        <v>45806</v>
      </c>
      <c r="G953" s="16" t="s">
        <v>5150</v>
      </c>
      <c r="H953" s="16" t="s">
        <v>5150</v>
      </c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 t="str">
        <f>IFERROR(__xludf.DUMMYFUNCTION("""COMPUTED_VALUE"""),"Exelixis Inc  Com")</f>
        <v>Exelixis Inc  Com</v>
      </c>
      <c r="B954" s="12" t="str">
        <f>IFERROR(__xludf.DUMMYFUNCTION("""COMPUTED_VALUE"""),"EXEL-US")</f>
        <v>EXEL-US</v>
      </c>
      <c r="C954" s="12"/>
      <c r="D954" s="13">
        <f>IFERROR(__xludf.DUMMYFUNCTION("""COMPUTED_VALUE"""),45432.0)</f>
        <v>45432</v>
      </c>
      <c r="E954" s="13">
        <f>IFERROR(__xludf.DUMMYFUNCTION("""COMPUTED_VALUE"""),45805.0)</f>
        <v>45805</v>
      </c>
      <c r="F954" s="13">
        <f>IFERROR(__xludf.DUMMYFUNCTION("""COMPUTED_VALUE"""),45805.0)</f>
        <v>45805</v>
      </c>
      <c r="G954" s="16" t="s">
        <v>5150</v>
      </c>
      <c r="H954" s="16" t="s">
        <v>5150</v>
      </c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 t="str">
        <f>IFERROR(__xludf.DUMMYFUNCTION("""COMPUTED_VALUE"""),"Glaukos Corp  Com")</f>
        <v>Glaukos Corp  Com</v>
      </c>
      <c r="B955" s="12" t="str">
        <f>IFERROR(__xludf.DUMMYFUNCTION("""COMPUTED_VALUE"""),"GKOS-US")</f>
        <v>GKOS-US</v>
      </c>
      <c r="C955" s="12"/>
      <c r="D955" s="13">
        <f>IFERROR(__xludf.DUMMYFUNCTION("""COMPUTED_VALUE"""),45432.0)</f>
        <v>45432</v>
      </c>
      <c r="E955" s="13">
        <f>IFERROR(__xludf.DUMMYFUNCTION("""COMPUTED_VALUE"""),45806.0)</f>
        <v>45806</v>
      </c>
      <c r="F955" s="13">
        <f>IFERROR(__xludf.DUMMYFUNCTION("""COMPUTED_VALUE"""),45806.0)</f>
        <v>45806</v>
      </c>
      <c r="G955" s="16" t="s">
        <v>5150</v>
      </c>
      <c r="H955" s="16" t="s">
        <v>5150</v>
      </c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 t="str">
        <f>IFERROR(__xludf.DUMMYFUNCTION("""COMPUTED_VALUE"""),"Bruker Corp  Com")</f>
        <v>Bruker Corp  Com</v>
      </c>
      <c r="B956" s="12" t="str">
        <f>IFERROR(__xludf.DUMMYFUNCTION("""COMPUTED_VALUE"""),"BRKR-US")</f>
        <v>BRKR-US</v>
      </c>
      <c r="C956" s="12"/>
      <c r="D956" s="13">
        <f>IFERROR(__xludf.DUMMYFUNCTION("""COMPUTED_VALUE"""),45432.0)</f>
        <v>45432</v>
      </c>
      <c r="E956" s="13">
        <f>IFERROR(__xludf.DUMMYFUNCTION("""COMPUTED_VALUE"""),45806.0)</f>
        <v>45806</v>
      </c>
      <c r="F956" s="13">
        <f>IFERROR(__xludf.DUMMYFUNCTION("""COMPUTED_VALUE"""),45806.0)</f>
        <v>45806</v>
      </c>
      <c r="G956" s="16" t="s">
        <v>5150</v>
      </c>
      <c r="H956" s="16" t="s">
        <v>5150</v>
      </c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 t="str">
        <f>IFERROR(__xludf.DUMMYFUNCTION("""COMPUTED_VALUE"""),"Elanco Animal Health Inc  Com")</f>
        <v>Elanco Animal Health Inc  Com</v>
      </c>
      <c r="B957" s="12" t="str">
        <f>IFERROR(__xludf.DUMMYFUNCTION("""COMPUTED_VALUE"""),"ELAN-US")</f>
        <v>ELAN-US</v>
      </c>
      <c r="C957" s="12"/>
      <c r="D957" s="13">
        <f>IFERROR(__xludf.DUMMYFUNCTION("""COMPUTED_VALUE"""),45433.0)</f>
        <v>45433</v>
      </c>
      <c r="E957" s="13">
        <f>IFERROR(__xludf.DUMMYFUNCTION("""COMPUTED_VALUE"""),45793.0)</f>
        <v>45793</v>
      </c>
      <c r="F957" s="13">
        <f>IFERROR(__xludf.DUMMYFUNCTION("""COMPUTED_VALUE"""),45793.0)</f>
        <v>45793</v>
      </c>
      <c r="G957" s="16" t="s">
        <v>5150</v>
      </c>
      <c r="H957" s="16" t="s">
        <v>5150</v>
      </c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 t="str">
        <f>IFERROR(__xludf.DUMMYFUNCTION("""COMPUTED_VALUE"""),"Workiva Inc  Cl A")</f>
        <v>Workiva Inc  Cl A</v>
      </c>
      <c r="B958" s="12" t="str">
        <f>IFERROR(__xludf.DUMMYFUNCTION("""COMPUTED_VALUE"""),"WK-US")</f>
        <v>WK-US</v>
      </c>
      <c r="C958" s="12"/>
      <c r="D958" s="13">
        <f>IFERROR(__xludf.DUMMYFUNCTION("""COMPUTED_VALUE"""),45433.0)</f>
        <v>45433</v>
      </c>
      <c r="E958" s="13">
        <f>IFERROR(__xludf.DUMMYFUNCTION("""COMPUTED_VALUE"""),45806.0)</f>
        <v>45806</v>
      </c>
      <c r="F958" s="13">
        <f>IFERROR(__xludf.DUMMYFUNCTION("""COMPUTED_VALUE"""),45806.0)</f>
        <v>45806</v>
      </c>
      <c r="G958" s="16" t="s">
        <v>5150</v>
      </c>
      <c r="H958" s="16" t="s">
        <v>5150</v>
      </c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 t="str">
        <f>IFERROR(__xludf.DUMMYFUNCTION("""COMPUTED_VALUE"""),"Macerich Co  Com")</f>
        <v>Macerich Co  Com</v>
      </c>
      <c r="B959" s="12" t="str">
        <f>IFERROR(__xludf.DUMMYFUNCTION("""COMPUTED_VALUE"""),"MAC-US")</f>
        <v>MAC-US</v>
      </c>
      <c r="C959" s="12"/>
      <c r="D959" s="13">
        <f>IFERROR(__xludf.DUMMYFUNCTION("""COMPUTED_VALUE"""),45433.0)</f>
        <v>45433</v>
      </c>
      <c r="E959" s="13">
        <f>IFERROR(__xludf.DUMMYFUNCTION("""COMPUTED_VALUE"""),45810.0)</f>
        <v>45810</v>
      </c>
      <c r="F959" s="13">
        <f>IFERROR(__xludf.DUMMYFUNCTION("""COMPUTED_VALUE"""),45810.0)</f>
        <v>45810</v>
      </c>
      <c r="G959" s="16" t="s">
        <v>5150</v>
      </c>
      <c r="H959" s="16" t="s">
        <v>5150</v>
      </c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 t="str">
        <f>IFERROR(__xludf.DUMMYFUNCTION("""COMPUTED_VALUE"""),"Sitime Corp  Com")</f>
        <v>Sitime Corp  Com</v>
      </c>
      <c r="B960" s="12" t="str">
        <f>IFERROR(__xludf.DUMMYFUNCTION("""COMPUTED_VALUE"""),"SITM-US")</f>
        <v>SITM-US</v>
      </c>
      <c r="C960" s="12"/>
      <c r="D960" s="13">
        <f>IFERROR(__xludf.DUMMYFUNCTION("""COMPUTED_VALUE"""),45433.0)</f>
        <v>45433</v>
      </c>
      <c r="E960" s="13">
        <f>IFERROR(__xludf.DUMMYFUNCTION("""COMPUTED_VALUE"""),45807.0)</f>
        <v>45807</v>
      </c>
      <c r="F960" s="13">
        <f>IFERROR(__xludf.DUMMYFUNCTION("""COMPUTED_VALUE"""),45807.0)</f>
        <v>45807</v>
      </c>
      <c r="G960" s="16" t="s">
        <v>5150</v>
      </c>
      <c r="H960" s="16" t="s">
        <v>5150</v>
      </c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 t="str">
        <f>IFERROR(__xludf.DUMMYFUNCTION("""COMPUTED_VALUE"""),"Columbia Sportswear Co  Com")</f>
        <v>Columbia Sportswear Co  Com</v>
      </c>
      <c r="B961" s="12" t="str">
        <f>IFERROR(__xludf.DUMMYFUNCTION("""COMPUTED_VALUE"""),"COLM-US")</f>
        <v>COLM-US</v>
      </c>
      <c r="C961" s="12"/>
      <c r="D961" s="13">
        <f>IFERROR(__xludf.DUMMYFUNCTION("""COMPUTED_VALUE"""),45433.0)</f>
        <v>45433</v>
      </c>
      <c r="E961" s="13">
        <f>IFERROR(__xludf.DUMMYFUNCTION("""COMPUTED_VALUE"""),45813.0)</f>
        <v>45813</v>
      </c>
      <c r="F961" s="13">
        <f>IFERROR(__xludf.DUMMYFUNCTION("""COMPUTED_VALUE"""),45813.0)</f>
        <v>45813</v>
      </c>
      <c r="G961" s="16" t="s">
        <v>5150</v>
      </c>
      <c r="H961" s="16" t="s">
        <v>5150</v>
      </c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 t="str">
        <f>IFERROR(__xludf.DUMMYFUNCTION("""COMPUTED_VALUE"""),"Douglas Emmett Inc  Com")</f>
        <v>Douglas Emmett Inc  Com</v>
      </c>
      <c r="B962" s="12" t="str">
        <f>IFERROR(__xludf.DUMMYFUNCTION("""COMPUTED_VALUE"""),"DEI-US")</f>
        <v>DEI-US</v>
      </c>
      <c r="C962" s="12"/>
      <c r="D962" s="13">
        <f>IFERROR(__xludf.DUMMYFUNCTION("""COMPUTED_VALUE"""),45433.0)</f>
        <v>45433</v>
      </c>
      <c r="E962" s="13">
        <f>IFERROR(__xludf.DUMMYFUNCTION("""COMPUTED_VALUE"""),45806.0)</f>
        <v>45806</v>
      </c>
      <c r="F962" s="13">
        <f>IFERROR(__xludf.DUMMYFUNCTION("""COMPUTED_VALUE"""),45806.0)</f>
        <v>45806</v>
      </c>
      <c r="G962" s="16" t="s">
        <v>5150</v>
      </c>
      <c r="H962" s="16" t="s">
        <v>5150</v>
      </c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 t="str">
        <f>IFERROR(__xludf.DUMMYFUNCTION("""COMPUTED_VALUE"""),"Payoneer Global Inc  Cl A")</f>
        <v>Payoneer Global Inc  Cl A</v>
      </c>
      <c r="B963" s="12" t="str">
        <f>IFERROR(__xludf.DUMMYFUNCTION("""COMPUTED_VALUE"""),"PAYO-US")</f>
        <v>PAYO-US</v>
      </c>
      <c r="C963" s="12"/>
      <c r="D963" s="13">
        <f>IFERROR(__xludf.DUMMYFUNCTION("""COMPUTED_VALUE"""),45433.0)</f>
        <v>45433</v>
      </c>
      <c r="E963" s="13">
        <f>IFERROR(__xludf.DUMMYFUNCTION("""COMPUTED_VALUE"""),45818.0)</f>
        <v>45818</v>
      </c>
      <c r="F963" s="13">
        <f>IFERROR(__xludf.DUMMYFUNCTION("""COMPUTED_VALUE"""),45818.0)</f>
        <v>45818</v>
      </c>
      <c r="G963" s="16" t="s">
        <v>5150</v>
      </c>
      <c r="H963" s="16" t="s">
        <v>5150</v>
      </c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 t="str">
        <f>IFERROR(__xludf.DUMMYFUNCTION("""COMPUTED_VALUE"""),"Laureate Education Inc  Com")</f>
        <v>Laureate Education Inc  Com</v>
      </c>
      <c r="B964" s="12" t="str">
        <f>IFERROR(__xludf.DUMMYFUNCTION("""COMPUTED_VALUE"""),"LAUR-US")</f>
        <v>LAUR-US</v>
      </c>
      <c r="C964" s="12"/>
      <c r="D964" s="13">
        <f>IFERROR(__xludf.DUMMYFUNCTION("""COMPUTED_VALUE"""),45433.0)</f>
        <v>45433</v>
      </c>
      <c r="E964" s="13">
        <f>IFERROR(__xludf.DUMMYFUNCTION("""COMPUTED_VALUE"""),45799.0)</f>
        <v>45799</v>
      </c>
      <c r="F964" s="13">
        <f>IFERROR(__xludf.DUMMYFUNCTION("""COMPUTED_VALUE"""),45799.0)</f>
        <v>45799</v>
      </c>
      <c r="G964" s="16" t="s">
        <v>5150</v>
      </c>
      <c r="H964" s="16" t="s">
        <v>5150</v>
      </c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 t="str">
        <f>IFERROR(__xludf.DUMMYFUNCTION("""COMPUTED_VALUE"""),"Medical Properties Trust Inc  Com")</f>
        <v>Medical Properties Trust Inc  Com</v>
      </c>
      <c r="B965" s="12" t="str">
        <f>IFERROR(__xludf.DUMMYFUNCTION("""COMPUTED_VALUE"""),"MPW-US")</f>
        <v>MPW-US</v>
      </c>
      <c r="C965" s="12"/>
      <c r="D965" s="13">
        <f>IFERROR(__xludf.DUMMYFUNCTION("""COMPUTED_VALUE"""),45433.0)</f>
        <v>45433</v>
      </c>
      <c r="E965" s="13">
        <f>IFERROR(__xludf.DUMMYFUNCTION("""COMPUTED_VALUE"""),45806.0)</f>
        <v>45806</v>
      </c>
      <c r="F965" s="13">
        <f>IFERROR(__xludf.DUMMYFUNCTION("""COMPUTED_VALUE"""),45806.0)</f>
        <v>45806</v>
      </c>
      <c r="G965" s="16" t="s">
        <v>5150</v>
      </c>
      <c r="H965" s="16" t="s">
        <v>5150</v>
      </c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 t="str">
        <f>IFERROR(__xludf.DUMMYFUNCTION("""COMPUTED_VALUE"""),"Cheesecake Factory Inc  Com")</f>
        <v>Cheesecake Factory Inc  Com</v>
      </c>
      <c r="B966" s="12" t="str">
        <f>IFERROR(__xludf.DUMMYFUNCTION("""COMPUTED_VALUE"""),"CAKE-US")</f>
        <v>CAKE-US</v>
      </c>
      <c r="C966" s="12"/>
      <c r="D966" s="13">
        <f>IFERROR(__xludf.DUMMYFUNCTION("""COMPUTED_VALUE"""),45433.0)</f>
        <v>45433</v>
      </c>
      <c r="E966" s="13">
        <f>IFERROR(__xludf.DUMMYFUNCTION("""COMPUTED_VALUE"""),45799.0)</f>
        <v>45799</v>
      </c>
      <c r="F966" s="13">
        <f>IFERROR(__xludf.DUMMYFUNCTION("""COMPUTED_VALUE"""),45799.0)</f>
        <v>45799</v>
      </c>
      <c r="G966" s="16" t="s">
        <v>5150</v>
      </c>
      <c r="H966" s="16" t="s">
        <v>5150</v>
      </c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 t="str">
        <f>IFERROR(__xludf.DUMMYFUNCTION("""COMPUTED_VALUE"""),"Red Rock Resorts Inc  Cl A")</f>
        <v>Red Rock Resorts Inc  Cl A</v>
      </c>
      <c r="B967" s="12" t="str">
        <f>IFERROR(__xludf.DUMMYFUNCTION("""COMPUTED_VALUE"""),"RRR-US")</f>
        <v>RRR-US</v>
      </c>
      <c r="C967" s="12"/>
      <c r="D967" s="13">
        <f>IFERROR(__xludf.DUMMYFUNCTION("""COMPUTED_VALUE"""),45433.0)</f>
        <v>45433</v>
      </c>
      <c r="E967" s="13">
        <f>IFERROR(__xludf.DUMMYFUNCTION("""COMPUTED_VALUE"""),45813.0)</f>
        <v>45813</v>
      </c>
      <c r="F967" s="13">
        <f>IFERROR(__xludf.DUMMYFUNCTION("""COMPUTED_VALUE"""),45813.0)</f>
        <v>45813</v>
      </c>
      <c r="G967" s="16" t="s">
        <v>5150</v>
      </c>
      <c r="H967" s="16" t="s">
        <v>5150</v>
      </c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 t="str">
        <f>IFERROR(__xludf.DUMMYFUNCTION("""COMPUTED_VALUE"""),"Hayward Holdings Inc  Com")</f>
        <v>Hayward Holdings Inc  Com</v>
      </c>
      <c r="B968" s="12" t="str">
        <f>IFERROR(__xludf.DUMMYFUNCTION("""COMPUTED_VALUE"""),"HAYW-US")</f>
        <v>HAYW-US</v>
      </c>
      <c r="C968" s="12"/>
      <c r="D968" s="13">
        <f>IFERROR(__xludf.DUMMYFUNCTION("""COMPUTED_VALUE"""),45433.0)</f>
        <v>45433</v>
      </c>
      <c r="E968" s="13">
        <f>IFERROR(__xludf.DUMMYFUNCTION("""COMPUTED_VALUE"""),45799.0)</f>
        <v>45799</v>
      </c>
      <c r="F968" s="13">
        <f>IFERROR(__xludf.DUMMYFUNCTION("""COMPUTED_VALUE"""),45799.0)</f>
        <v>45799</v>
      </c>
      <c r="G968" s="16" t="s">
        <v>5150</v>
      </c>
      <c r="H968" s="16" t="s">
        <v>5150</v>
      </c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 t="str">
        <f>IFERROR(__xludf.DUMMYFUNCTION("""COMPUTED_VALUE"""),"Jamf Holding Corp  Com")</f>
        <v>Jamf Holding Corp  Com</v>
      </c>
      <c r="B969" s="12" t="str">
        <f>IFERROR(__xludf.DUMMYFUNCTION("""COMPUTED_VALUE"""),"JAMF-US")</f>
        <v>JAMF-US</v>
      </c>
      <c r="C969" s="12"/>
      <c r="D969" s="13">
        <f>IFERROR(__xludf.DUMMYFUNCTION("""COMPUTED_VALUE"""),45433.0)</f>
        <v>45433</v>
      </c>
      <c r="E969" s="13">
        <f>IFERROR(__xludf.DUMMYFUNCTION("""COMPUTED_VALUE"""),45818.0)</f>
        <v>45818</v>
      </c>
      <c r="F969" s="13">
        <f>IFERROR(__xludf.DUMMYFUNCTION("""COMPUTED_VALUE"""),45818.0)</f>
        <v>45818</v>
      </c>
      <c r="G969" s="16" t="s">
        <v>5150</v>
      </c>
      <c r="H969" s="16" t="s">
        <v>5150</v>
      </c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 t="str">
        <f>IFERROR(__xludf.DUMMYFUNCTION("""COMPUTED_VALUE"""),"Elme Communities  Com")</f>
        <v>Elme Communities  Com</v>
      </c>
      <c r="B970" s="12" t="str">
        <f>IFERROR(__xludf.DUMMYFUNCTION("""COMPUTED_VALUE"""),"ELME-US")</f>
        <v>ELME-US</v>
      </c>
      <c r="C970" s="12"/>
      <c r="D970" s="13">
        <f>IFERROR(__xludf.DUMMYFUNCTION("""COMPUTED_VALUE"""),45433.0)</f>
        <v>45433</v>
      </c>
      <c r="E970" s="13">
        <f>IFERROR(__xludf.DUMMYFUNCTION("""COMPUTED_VALUE"""),45806.0)</f>
        <v>45806</v>
      </c>
      <c r="F970" s="13">
        <f>IFERROR(__xludf.DUMMYFUNCTION("""COMPUTED_VALUE"""),45806.0)</f>
        <v>45806</v>
      </c>
      <c r="G970" s="16" t="s">
        <v>5150</v>
      </c>
      <c r="H970" s="16" t="s">
        <v>5150</v>
      </c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 t="str">
        <f>IFERROR(__xludf.DUMMYFUNCTION("""COMPUTED_VALUE"""),"Topgolf Callaway Brands Corp  Com")</f>
        <v>Topgolf Callaway Brands Corp  Com</v>
      </c>
      <c r="B971" s="12" t="str">
        <f>IFERROR(__xludf.DUMMYFUNCTION("""COMPUTED_VALUE"""),"MODG-US")</f>
        <v>MODG-US</v>
      </c>
      <c r="C971" s="12"/>
      <c r="D971" s="13">
        <f>IFERROR(__xludf.DUMMYFUNCTION("""COMPUTED_VALUE"""),45433.0)</f>
        <v>45433</v>
      </c>
      <c r="E971" s="13">
        <f>IFERROR(__xludf.DUMMYFUNCTION("""COMPUTED_VALUE"""),45806.0)</f>
        <v>45806</v>
      </c>
      <c r="F971" s="13">
        <f>IFERROR(__xludf.DUMMYFUNCTION("""COMPUTED_VALUE"""),45806.0)</f>
        <v>45806</v>
      </c>
      <c r="G971" s="16" t="s">
        <v>5150</v>
      </c>
      <c r="H971" s="16" t="s">
        <v>5150</v>
      </c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 t="str">
        <f>IFERROR(__xludf.DUMMYFUNCTION("""COMPUTED_VALUE"""),"Rush Street Interactive Inc  Cl A")</f>
        <v>Rush Street Interactive Inc  Cl A</v>
      </c>
      <c r="B972" s="12" t="str">
        <f>IFERROR(__xludf.DUMMYFUNCTION("""COMPUTED_VALUE"""),"RSI-US")</f>
        <v>RSI-US</v>
      </c>
      <c r="C972" s="12"/>
      <c r="D972" s="13">
        <f>IFERROR(__xludf.DUMMYFUNCTION("""COMPUTED_VALUE"""),45433.0)</f>
        <v>45433</v>
      </c>
      <c r="E972" s="13">
        <f>IFERROR(__xludf.DUMMYFUNCTION("""COMPUTED_VALUE"""),45806.0)</f>
        <v>45806</v>
      </c>
      <c r="F972" s="13">
        <f>IFERROR(__xludf.DUMMYFUNCTION("""COMPUTED_VALUE"""),45806.0)</f>
        <v>45806</v>
      </c>
      <c r="G972" s="16" t="s">
        <v>5150</v>
      </c>
      <c r="H972" s="16" t="s">
        <v>5150</v>
      </c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 t="str">
        <f>IFERROR(__xludf.DUMMYFUNCTION("""COMPUTED_VALUE"""),"Netgear Inc  Com")</f>
        <v>Netgear Inc  Com</v>
      </c>
      <c r="B973" s="12" t="str">
        <f>IFERROR(__xludf.DUMMYFUNCTION("""COMPUTED_VALUE"""),"NTGR-US")</f>
        <v>NTGR-US</v>
      </c>
      <c r="C973" s="12"/>
      <c r="D973" s="13">
        <f>IFERROR(__xludf.DUMMYFUNCTION("""COMPUTED_VALUE"""),45433.0)</f>
        <v>45433</v>
      </c>
      <c r="E973" s="13">
        <f>IFERROR(__xludf.DUMMYFUNCTION("""COMPUTED_VALUE"""),45806.0)</f>
        <v>45806</v>
      </c>
      <c r="F973" s="13">
        <f>IFERROR(__xludf.DUMMYFUNCTION("""COMPUTED_VALUE"""),45806.0)</f>
        <v>45806</v>
      </c>
      <c r="G973" s="16" t="s">
        <v>5150</v>
      </c>
      <c r="H973" s="16" t="s">
        <v>5150</v>
      </c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 t="str">
        <f>IFERROR(__xludf.DUMMYFUNCTION("""COMPUTED_VALUE"""),"Healthstream Inc  Com")</f>
        <v>Healthstream Inc  Com</v>
      </c>
      <c r="B974" s="12" t="str">
        <f>IFERROR(__xludf.DUMMYFUNCTION("""COMPUTED_VALUE"""),"HSTM-US")</f>
        <v>HSTM-US</v>
      </c>
      <c r="C974" s="12"/>
      <c r="D974" s="13">
        <f>IFERROR(__xludf.DUMMYFUNCTION("""COMPUTED_VALUE"""),45433.0)</f>
        <v>45433</v>
      </c>
      <c r="E974" s="13">
        <f>IFERROR(__xludf.DUMMYFUNCTION("""COMPUTED_VALUE"""),45806.0)</f>
        <v>45806</v>
      </c>
      <c r="F974" s="13">
        <f>IFERROR(__xludf.DUMMYFUNCTION("""COMPUTED_VALUE"""),45806.0)</f>
        <v>45806</v>
      </c>
      <c r="G974" s="16" t="s">
        <v>5150</v>
      </c>
      <c r="H974" s="16" t="s">
        <v>5150</v>
      </c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 t="str">
        <f>IFERROR(__xludf.DUMMYFUNCTION("""COMPUTED_VALUE"""),"Aspen Aerogels Inc  Com")</f>
        <v>Aspen Aerogels Inc  Com</v>
      </c>
      <c r="B975" s="12" t="str">
        <f>IFERROR(__xludf.DUMMYFUNCTION("""COMPUTED_VALUE"""),"ASPN-US")</f>
        <v>ASPN-US</v>
      </c>
      <c r="C975" s="12"/>
      <c r="D975" s="13">
        <f>IFERROR(__xludf.DUMMYFUNCTION("""COMPUTED_VALUE"""),45433.0)</f>
        <v>45433</v>
      </c>
      <c r="E975" s="13">
        <f>IFERROR(__xludf.DUMMYFUNCTION("""COMPUTED_VALUE"""),45777.0)</f>
        <v>45777</v>
      </c>
      <c r="F975" s="13">
        <f>IFERROR(__xludf.DUMMYFUNCTION("""COMPUTED_VALUE"""),45777.0)</f>
        <v>45777</v>
      </c>
      <c r="G975" s="16" t="s">
        <v>5150</v>
      </c>
      <c r="H975" s="16" t="s">
        <v>5150</v>
      </c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 t="str">
        <f>IFERROR(__xludf.DUMMYFUNCTION("""COMPUTED_VALUE"""),"Red Violet Inc  Com")</f>
        <v>Red Violet Inc  Com</v>
      </c>
      <c r="B976" s="12" t="str">
        <f>IFERROR(__xludf.DUMMYFUNCTION("""COMPUTED_VALUE"""),"RDVT-US")</f>
        <v>RDVT-US</v>
      </c>
      <c r="C976" s="12"/>
      <c r="D976" s="13">
        <f>IFERROR(__xludf.DUMMYFUNCTION("""COMPUTED_VALUE"""),45433.0)</f>
        <v>45433</v>
      </c>
      <c r="E976" s="13">
        <f>IFERROR(__xludf.DUMMYFUNCTION("""COMPUTED_VALUE"""),45818.0)</f>
        <v>45818</v>
      </c>
      <c r="F976" s="13">
        <f>IFERROR(__xludf.DUMMYFUNCTION("""COMPUTED_VALUE"""),45818.0)</f>
        <v>45818</v>
      </c>
      <c r="G976" s="16" t="s">
        <v>5150</v>
      </c>
      <c r="H976" s="16" t="s">
        <v>5150</v>
      </c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 t="str">
        <f>IFERROR(__xludf.DUMMYFUNCTION("""COMPUTED_VALUE"""),"Esquire Financial Holdings Inc  Com")</f>
        <v>Esquire Financial Holdings Inc  Com</v>
      </c>
      <c r="B977" s="12" t="str">
        <f>IFERROR(__xludf.DUMMYFUNCTION("""COMPUTED_VALUE"""),"ESQ-US")</f>
        <v>ESQ-US</v>
      </c>
      <c r="C977" s="12"/>
      <c r="D977" s="13">
        <f>IFERROR(__xludf.DUMMYFUNCTION("""COMPUTED_VALUE"""),45433.0)</f>
        <v>45433</v>
      </c>
      <c r="E977" s="13">
        <f>IFERROR(__xludf.DUMMYFUNCTION("""COMPUTED_VALUE"""),45806.0)</f>
        <v>45806</v>
      </c>
      <c r="F977" s="13">
        <f>IFERROR(__xludf.DUMMYFUNCTION("""COMPUTED_VALUE"""),45806.0)</f>
        <v>45806</v>
      </c>
      <c r="G977" s="16" t="s">
        <v>5150</v>
      </c>
      <c r="H977" s="16" t="s">
        <v>5150</v>
      </c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 t="str">
        <f>IFERROR(__xludf.DUMMYFUNCTION("""COMPUTED_VALUE"""),"Composecure Inc  Cl A")</f>
        <v>Composecure Inc  Cl A</v>
      </c>
      <c r="B978" s="12" t="str">
        <f>IFERROR(__xludf.DUMMYFUNCTION("""COMPUTED_VALUE"""),"CMPO-US")</f>
        <v>CMPO-US</v>
      </c>
      <c r="C978" s="12"/>
      <c r="D978" s="13">
        <f>IFERROR(__xludf.DUMMYFUNCTION("""COMPUTED_VALUE"""),45433.0)</f>
        <v>45433</v>
      </c>
      <c r="E978" s="13">
        <f>IFERROR(__xludf.DUMMYFUNCTION("""COMPUTED_VALUE"""),45805.0)</f>
        <v>45805</v>
      </c>
      <c r="F978" s="13">
        <f>IFERROR(__xludf.DUMMYFUNCTION("""COMPUTED_VALUE"""),45805.0)</f>
        <v>45805</v>
      </c>
      <c r="G978" s="16" t="s">
        <v>5150</v>
      </c>
      <c r="H978" s="16" t="s">
        <v>5150</v>
      </c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 t="str">
        <f>IFERROR(__xludf.DUMMYFUNCTION("""COMPUTED_VALUE"""),"Repay Holdings Corp  Cl A")</f>
        <v>Repay Holdings Corp  Cl A</v>
      </c>
      <c r="B979" s="12" t="str">
        <f>IFERROR(__xludf.DUMMYFUNCTION("""COMPUTED_VALUE"""),"RPAY-US")</f>
        <v>RPAY-US</v>
      </c>
      <c r="C979" s="12"/>
      <c r="D979" s="13">
        <f>IFERROR(__xludf.DUMMYFUNCTION("""COMPUTED_VALUE"""),45433.0)</f>
        <v>45433</v>
      </c>
      <c r="E979" s="13">
        <f>IFERROR(__xludf.DUMMYFUNCTION("""COMPUTED_VALUE"""),45820.0)</f>
        <v>45820</v>
      </c>
      <c r="F979" s="13">
        <f>IFERROR(__xludf.DUMMYFUNCTION("""COMPUTED_VALUE"""),45820.0)</f>
        <v>45820</v>
      </c>
      <c r="G979" s="16" t="s">
        <v>5150</v>
      </c>
      <c r="H979" s="16" t="s">
        <v>5150</v>
      </c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 t="str">
        <f>IFERROR(__xludf.DUMMYFUNCTION("""COMPUTED_VALUE"""),"Couchbase Inc  Com")</f>
        <v>Couchbase Inc  Com</v>
      </c>
      <c r="B980" s="12" t="str">
        <f>IFERROR(__xludf.DUMMYFUNCTION("""COMPUTED_VALUE"""),"BASE-US")</f>
        <v>BASE-US</v>
      </c>
      <c r="C980" s="12"/>
      <c r="D980" s="13">
        <f>IFERROR(__xludf.DUMMYFUNCTION("""COMPUTED_VALUE"""),45433.0)</f>
        <v>45433</v>
      </c>
      <c r="E980" s="13">
        <f>IFERROR(__xludf.DUMMYFUNCTION("""COMPUTED_VALUE"""),45806.0)</f>
        <v>45806</v>
      </c>
      <c r="F980" s="13">
        <f>IFERROR(__xludf.DUMMYFUNCTION("""COMPUTED_VALUE"""),45806.0)</f>
        <v>45806</v>
      </c>
      <c r="G980" s="16" t="s">
        <v>5150</v>
      </c>
      <c r="H980" s="16" t="s">
        <v>5150</v>
      </c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 t="str">
        <f>IFERROR(__xludf.DUMMYFUNCTION("""COMPUTED_VALUE"""),"Sturm Ruger &amp; Co Inc  Com")</f>
        <v>Sturm Ruger &amp; Co Inc  Com</v>
      </c>
      <c r="B981" s="12" t="str">
        <f>IFERROR(__xludf.DUMMYFUNCTION("""COMPUTED_VALUE"""),"RGR-US")</f>
        <v>RGR-US</v>
      </c>
      <c r="C981" s="12"/>
      <c r="D981" s="13">
        <f>IFERROR(__xludf.DUMMYFUNCTION("""COMPUTED_VALUE"""),45433.0)</f>
        <v>45433</v>
      </c>
      <c r="E981" s="13">
        <f>IFERROR(__xludf.DUMMYFUNCTION("""COMPUTED_VALUE"""),45806.0)</f>
        <v>45806</v>
      </c>
      <c r="F981" s="13">
        <f>IFERROR(__xludf.DUMMYFUNCTION("""COMPUTED_VALUE"""),45806.0)</f>
        <v>45806</v>
      </c>
      <c r="G981" s="16" t="s">
        <v>5150</v>
      </c>
      <c r="H981" s="16" t="s">
        <v>5150</v>
      </c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 t="str">
        <f>IFERROR(__xludf.DUMMYFUNCTION("""COMPUTED_VALUE"""),"Community West Bancshares  Com")</f>
        <v>Community West Bancshares  Com</v>
      </c>
      <c r="B982" s="12" t="str">
        <f>IFERROR(__xludf.DUMMYFUNCTION("""COMPUTED_VALUE"""),"CWBC-US")</f>
        <v>CWBC-US</v>
      </c>
      <c r="C982" s="12"/>
      <c r="D982" s="13">
        <f>IFERROR(__xludf.DUMMYFUNCTION("""COMPUTED_VALUE"""),45433.0)</f>
        <v>45433</v>
      </c>
      <c r="E982" s="13">
        <f>IFERROR(__xludf.DUMMYFUNCTION("""COMPUTED_VALUE"""),45798.0)</f>
        <v>45798</v>
      </c>
      <c r="F982" s="13">
        <f>IFERROR(__xludf.DUMMYFUNCTION("""COMPUTED_VALUE"""),45798.0)</f>
        <v>45798</v>
      </c>
      <c r="G982" s="16" t="s">
        <v>5150</v>
      </c>
      <c r="H982" s="16" t="s">
        <v>5150</v>
      </c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 t="str">
        <f>IFERROR(__xludf.DUMMYFUNCTION("""COMPUTED_VALUE"""),"Hallador Energy Co  Com")</f>
        <v>Hallador Energy Co  Com</v>
      </c>
      <c r="B983" s="12" t="str">
        <f>IFERROR(__xludf.DUMMYFUNCTION("""COMPUTED_VALUE"""),"HNRG-US")</f>
        <v>HNRG-US</v>
      </c>
      <c r="C983" s="12"/>
      <c r="D983" s="13">
        <f>IFERROR(__xludf.DUMMYFUNCTION("""COMPUTED_VALUE"""),45433.0)</f>
        <v>45433</v>
      </c>
      <c r="E983" s="13">
        <f>IFERROR(__xludf.DUMMYFUNCTION("""COMPUTED_VALUE"""),45806.0)</f>
        <v>45806</v>
      </c>
      <c r="F983" s="13">
        <f>IFERROR(__xludf.DUMMYFUNCTION("""COMPUTED_VALUE"""),45806.0)</f>
        <v>45806</v>
      </c>
      <c r="G983" s="16" t="s">
        <v>5150</v>
      </c>
      <c r="H983" s="16" t="s">
        <v>5150</v>
      </c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 t="str">
        <f>IFERROR(__xludf.DUMMYFUNCTION("""COMPUTED_VALUE"""),"Keros Therapeutics Inc  Com")</f>
        <v>Keros Therapeutics Inc  Com</v>
      </c>
      <c r="B984" s="12" t="str">
        <f>IFERROR(__xludf.DUMMYFUNCTION("""COMPUTED_VALUE"""),"KROS-US")</f>
        <v>KROS-US</v>
      </c>
      <c r="C984" s="12"/>
      <c r="D984" s="13">
        <f>IFERROR(__xludf.DUMMYFUNCTION("""COMPUTED_VALUE"""),45433.0)</f>
        <v>45433</v>
      </c>
      <c r="E984" s="13">
        <f>IFERROR(__xludf.DUMMYFUNCTION("""COMPUTED_VALUE"""),45812.0)</f>
        <v>45812</v>
      </c>
      <c r="F984" s="13">
        <f>IFERROR(__xludf.DUMMYFUNCTION("""COMPUTED_VALUE"""),45812.0)</f>
        <v>45812</v>
      </c>
      <c r="G984" s="16" t="s">
        <v>5150</v>
      </c>
      <c r="H984" s="16" t="s">
        <v>5150</v>
      </c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 t="str">
        <f>IFERROR(__xludf.DUMMYFUNCTION("""COMPUTED_VALUE"""),"Shore Bancshares Inc  Com")</f>
        <v>Shore Bancshares Inc  Com</v>
      </c>
      <c r="B985" s="12" t="str">
        <f>IFERROR(__xludf.DUMMYFUNCTION("""COMPUTED_VALUE"""),"SHBI-US")</f>
        <v>SHBI-US</v>
      </c>
      <c r="C985" s="12"/>
      <c r="D985" s="13">
        <f>IFERROR(__xludf.DUMMYFUNCTION("""COMPUTED_VALUE"""),45433.0)</f>
        <v>45433</v>
      </c>
      <c r="E985" s="13">
        <f>IFERROR(__xludf.DUMMYFUNCTION("""COMPUTED_VALUE"""),45806.0)</f>
        <v>45806</v>
      </c>
      <c r="F985" s="13">
        <f>IFERROR(__xludf.DUMMYFUNCTION("""COMPUTED_VALUE"""),45806.0)</f>
        <v>45806</v>
      </c>
      <c r="G985" s="16" t="s">
        <v>5150</v>
      </c>
      <c r="H985" s="16" t="s">
        <v>5152</v>
      </c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 t="str">
        <f>IFERROR(__xludf.DUMMYFUNCTION("""COMPUTED_VALUE"""),"Industrial Logistics Properties  Cbi")</f>
        <v>Industrial Logistics Properties  Cbi</v>
      </c>
      <c r="B986" s="12" t="str">
        <f>IFERROR(__xludf.DUMMYFUNCTION("""COMPUTED_VALUE"""),"ILPT-US")</f>
        <v>ILPT-US</v>
      </c>
      <c r="C986" s="12"/>
      <c r="D986" s="13">
        <f>IFERROR(__xludf.DUMMYFUNCTION("""COMPUTED_VALUE"""),45433.0)</f>
        <v>45433</v>
      </c>
      <c r="E986" s="13">
        <f>IFERROR(__xludf.DUMMYFUNCTION("""COMPUTED_VALUE"""),45805.0)</f>
        <v>45805</v>
      </c>
      <c r="F986" s="13">
        <f>IFERROR(__xludf.DUMMYFUNCTION("""COMPUTED_VALUE"""),45805.0)</f>
        <v>45805</v>
      </c>
      <c r="G986" s="16" t="s">
        <v>5150</v>
      </c>
      <c r="H986" s="16" t="s">
        <v>5150</v>
      </c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 t="str">
        <f>IFERROR(__xludf.DUMMYFUNCTION("""COMPUTED_VALUE"""),"Xponential Fitness Inc  Cl A")</f>
        <v>Xponential Fitness Inc  Cl A</v>
      </c>
      <c r="B987" s="12" t="str">
        <f>IFERROR(__xludf.DUMMYFUNCTION("""COMPUTED_VALUE"""),"XPOF-US")</f>
        <v>XPOF-US</v>
      </c>
      <c r="C987" s="12"/>
      <c r="D987" s="13">
        <f>IFERROR(__xludf.DUMMYFUNCTION("""COMPUTED_VALUE"""),45433.0)</f>
        <v>45433</v>
      </c>
      <c r="E987" s="13">
        <f>IFERROR(__xludf.DUMMYFUNCTION("""COMPUTED_VALUE"""),45798.0)</f>
        <v>45798</v>
      </c>
      <c r="F987" s="13">
        <f>IFERROR(__xludf.DUMMYFUNCTION("""COMPUTED_VALUE"""),45798.0)</f>
        <v>45798</v>
      </c>
      <c r="G987" s="16" t="s">
        <v>5150</v>
      </c>
      <c r="H987" s="16" t="s">
        <v>5150</v>
      </c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 t="str">
        <f>IFERROR(__xludf.DUMMYFUNCTION("""COMPUTED_VALUE"""),"Profrac Holding Corp  Cl A")</f>
        <v>Profrac Holding Corp  Cl A</v>
      </c>
      <c r="B988" s="12" t="str">
        <f>IFERROR(__xludf.DUMMYFUNCTION("""COMPUTED_VALUE"""),"ACDC-US")</f>
        <v>ACDC-US</v>
      </c>
      <c r="C988" s="12"/>
      <c r="D988" s="13">
        <f>IFERROR(__xludf.DUMMYFUNCTION("""COMPUTED_VALUE"""),45433.0)</f>
        <v>45433</v>
      </c>
      <c r="E988" s="13">
        <f>IFERROR(__xludf.DUMMYFUNCTION("""COMPUTED_VALUE"""),45805.0)</f>
        <v>45805</v>
      </c>
      <c r="F988" s="13">
        <f>IFERROR(__xludf.DUMMYFUNCTION("""COMPUTED_VALUE"""),45805.0)</f>
        <v>45805</v>
      </c>
      <c r="G988" s="16" t="s">
        <v>5150</v>
      </c>
      <c r="H988" s="16" t="s">
        <v>5150</v>
      </c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 t="str">
        <f>IFERROR(__xludf.DUMMYFUNCTION("""COMPUTED_VALUE"""),"Entravision Communications  Cl A")</f>
        <v>Entravision Communications  Cl A</v>
      </c>
      <c r="B989" s="12" t="str">
        <f>IFERROR(__xludf.DUMMYFUNCTION("""COMPUTED_VALUE"""),"EVC-US")</f>
        <v>EVC-US</v>
      </c>
      <c r="C989" s="12"/>
      <c r="D989" s="13">
        <f>IFERROR(__xludf.DUMMYFUNCTION("""COMPUTED_VALUE"""),45433.0)</f>
        <v>45433</v>
      </c>
      <c r="E989" s="13">
        <f>IFERROR(__xludf.DUMMYFUNCTION("""COMPUTED_VALUE"""),45806.0)</f>
        <v>45806</v>
      </c>
      <c r="F989" s="13">
        <f>IFERROR(__xludf.DUMMYFUNCTION("""COMPUTED_VALUE"""),45806.0)</f>
        <v>45806</v>
      </c>
      <c r="G989" s="16" t="s">
        <v>5150</v>
      </c>
      <c r="H989" s="16" t="s">
        <v>5150</v>
      </c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 t="str">
        <f>IFERROR(__xludf.DUMMYFUNCTION("""COMPUTED_VALUE"""),"Third Coast Bancshares Inc  Com")</f>
        <v>Third Coast Bancshares Inc  Com</v>
      </c>
      <c r="B990" s="12" t="str">
        <f>IFERROR(__xludf.DUMMYFUNCTION("""COMPUTED_VALUE"""),"TCBX-US")</f>
        <v>TCBX-US</v>
      </c>
      <c r="C990" s="12"/>
      <c r="D990" s="13">
        <f>IFERROR(__xludf.DUMMYFUNCTION("""COMPUTED_VALUE"""),45433.0)</f>
        <v>45433</v>
      </c>
      <c r="E990" s="13">
        <f>IFERROR(__xludf.DUMMYFUNCTION("""COMPUTED_VALUE"""),45799.0)</f>
        <v>45799</v>
      </c>
      <c r="F990" s="13">
        <f>IFERROR(__xludf.DUMMYFUNCTION("""COMPUTED_VALUE"""),45799.0)</f>
        <v>45799</v>
      </c>
      <c r="G990" s="16" t="s">
        <v>5150</v>
      </c>
      <c r="H990" s="16" t="s">
        <v>5150</v>
      </c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 t="str">
        <f>IFERROR(__xludf.DUMMYFUNCTION("""COMPUTED_VALUE"""),"Prokidney Corp  Cl A")</f>
        <v>Prokidney Corp  Cl A</v>
      </c>
      <c r="B991" s="12" t="str">
        <f>IFERROR(__xludf.DUMMYFUNCTION("""COMPUTED_VALUE"""),"PROK-US")</f>
        <v>PROK-US</v>
      </c>
      <c r="C991" s="12"/>
      <c r="D991" s="13">
        <f>IFERROR(__xludf.DUMMYFUNCTION("""COMPUTED_VALUE"""),45433.0)</f>
        <v>45433</v>
      </c>
      <c r="E991" s="13">
        <f>IFERROR(__xludf.DUMMYFUNCTION("""COMPUTED_VALUE"""),45806.0)</f>
        <v>45806</v>
      </c>
      <c r="F991" s="13">
        <f>IFERROR(__xludf.DUMMYFUNCTION("""COMPUTED_VALUE"""),45806.0)</f>
        <v>45806</v>
      </c>
      <c r="G991" s="16" t="s">
        <v>5150</v>
      </c>
      <c r="H991" s="16" t="s">
        <v>5150</v>
      </c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 t="str">
        <f>IFERROR(__xludf.DUMMYFUNCTION("""COMPUTED_VALUE"""),"Editas Medicine Inc  Com")</f>
        <v>Editas Medicine Inc  Com</v>
      </c>
      <c r="B992" s="12" t="str">
        <f>IFERROR(__xludf.DUMMYFUNCTION("""COMPUTED_VALUE"""),"EDIT-US")</f>
        <v>EDIT-US</v>
      </c>
      <c r="C992" s="12"/>
      <c r="D992" s="13">
        <f>IFERROR(__xludf.DUMMYFUNCTION("""COMPUTED_VALUE"""),45433.0)</f>
        <v>45433</v>
      </c>
      <c r="E992" s="13">
        <f>IFERROR(__xludf.DUMMYFUNCTION("""COMPUTED_VALUE"""),45806.0)</f>
        <v>45806</v>
      </c>
      <c r="F992" s="13">
        <f>IFERROR(__xludf.DUMMYFUNCTION("""COMPUTED_VALUE"""),45806.0)</f>
        <v>45806</v>
      </c>
      <c r="G992" s="16" t="s">
        <v>5150</v>
      </c>
      <c r="H992" s="16" t="s">
        <v>5150</v>
      </c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 t="str">
        <f>IFERROR(__xludf.DUMMYFUNCTION("""COMPUTED_VALUE"""),"Tenaya Therapeutics Inc  Com")</f>
        <v>Tenaya Therapeutics Inc  Com</v>
      </c>
      <c r="B993" s="12" t="str">
        <f>IFERROR(__xludf.DUMMYFUNCTION("""COMPUTED_VALUE"""),"TNYA-US")</f>
        <v>TNYA-US</v>
      </c>
      <c r="C993" s="12"/>
      <c r="D993" s="13">
        <f>IFERROR(__xludf.DUMMYFUNCTION("""COMPUTED_VALUE"""),45433.0)</f>
        <v>45433</v>
      </c>
      <c r="E993" s="13">
        <f>IFERROR(__xludf.DUMMYFUNCTION("""COMPUTED_VALUE"""),45805.0)</f>
        <v>45805</v>
      </c>
      <c r="F993" s="13">
        <f>IFERROR(__xludf.DUMMYFUNCTION("""COMPUTED_VALUE"""),45805.0)</f>
        <v>45805</v>
      </c>
      <c r="G993" s="16" t="s">
        <v>5150</v>
      </c>
      <c r="H993" s="16" t="s">
        <v>5150</v>
      </c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 t="str">
        <f>IFERROR(__xludf.DUMMYFUNCTION("""COMPUTED_VALUE"""),"Meta Platforms Inc  Cl A")</f>
        <v>Meta Platforms Inc  Cl A</v>
      </c>
      <c r="B994" s="12" t="str">
        <f>IFERROR(__xludf.DUMMYFUNCTION("""COMPUTED_VALUE"""),"META-US")</f>
        <v>META-US</v>
      </c>
      <c r="C994" s="12"/>
      <c r="D994" s="13">
        <f>IFERROR(__xludf.DUMMYFUNCTION("""COMPUTED_VALUE"""),45433.0)</f>
        <v>45433</v>
      </c>
      <c r="E994" s="13">
        <f>IFERROR(__xludf.DUMMYFUNCTION("""COMPUTED_VALUE"""),45805.0)</f>
        <v>45805</v>
      </c>
      <c r="F994" s="13">
        <f>IFERROR(__xludf.DUMMYFUNCTION("""COMPUTED_VALUE"""),45805.0)</f>
        <v>45805</v>
      </c>
      <c r="G994" s="16" t="s">
        <v>5150</v>
      </c>
      <c r="H994" s="16" t="s">
        <v>5150</v>
      </c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 t="str">
        <f>IFERROR(__xludf.DUMMYFUNCTION("""COMPUTED_VALUE"""),"Exxon Mobil Corp  Com")</f>
        <v>Exxon Mobil Corp  Com</v>
      </c>
      <c r="B995" s="12" t="str">
        <f>IFERROR(__xludf.DUMMYFUNCTION("""COMPUTED_VALUE"""),"XOM-US")</f>
        <v>XOM-US</v>
      </c>
      <c r="C995" s="12"/>
      <c r="D995" s="13">
        <f>IFERROR(__xludf.DUMMYFUNCTION("""COMPUTED_VALUE"""),45433.0)</f>
        <v>45433</v>
      </c>
      <c r="E995" s="13">
        <f>IFERROR(__xludf.DUMMYFUNCTION("""COMPUTED_VALUE"""),45805.0)</f>
        <v>45805</v>
      </c>
      <c r="F995" s="13">
        <f>IFERROR(__xludf.DUMMYFUNCTION("""COMPUTED_VALUE"""),45805.0)</f>
        <v>45805</v>
      </c>
      <c r="G995" s="16" t="s">
        <v>5150</v>
      </c>
      <c r="H995" s="16" t="s">
        <v>5150</v>
      </c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 t="str">
        <f>IFERROR(__xludf.DUMMYFUNCTION("""COMPUTED_VALUE"""),"Chevron Corp  Com")</f>
        <v>Chevron Corp  Com</v>
      </c>
      <c r="B996" s="12" t="str">
        <f>IFERROR(__xludf.DUMMYFUNCTION("""COMPUTED_VALUE"""),"CVX-US")</f>
        <v>CVX-US</v>
      </c>
      <c r="C996" s="12"/>
      <c r="D996" s="13">
        <f>IFERROR(__xludf.DUMMYFUNCTION("""COMPUTED_VALUE"""),45433.0)</f>
        <v>45433</v>
      </c>
      <c r="E996" s="13">
        <f>IFERROR(__xludf.DUMMYFUNCTION("""COMPUTED_VALUE"""),45805.0)</f>
        <v>45805</v>
      </c>
      <c r="F996" s="13">
        <f>IFERROR(__xludf.DUMMYFUNCTION("""COMPUTED_VALUE"""),45805.0)</f>
        <v>45805</v>
      </c>
      <c r="G996" s="16" t="s">
        <v>5150</v>
      </c>
      <c r="H996" s="16" t="s">
        <v>5150</v>
      </c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 t="str">
        <f>IFERROR(__xludf.DUMMYFUNCTION("""COMPUTED_VALUE"""),"Williams Sonoma Inc  Com")</f>
        <v>Williams Sonoma Inc  Com</v>
      </c>
      <c r="B997" s="12" t="str">
        <f>IFERROR(__xludf.DUMMYFUNCTION("""COMPUTED_VALUE"""),"WSM-US")</f>
        <v>WSM-US</v>
      </c>
      <c r="C997" s="12"/>
      <c r="D997" s="13">
        <f>IFERROR(__xludf.DUMMYFUNCTION("""COMPUTED_VALUE"""),45433.0)</f>
        <v>45433</v>
      </c>
      <c r="E997" s="13">
        <f>IFERROR(__xludf.DUMMYFUNCTION("""COMPUTED_VALUE"""),45819.0)</f>
        <v>45819</v>
      </c>
      <c r="F997" s="13">
        <f>IFERROR(__xludf.DUMMYFUNCTION("""COMPUTED_VALUE"""),45819.0)</f>
        <v>45819</v>
      </c>
      <c r="G997" s="16" t="s">
        <v>5150</v>
      </c>
      <c r="H997" s="16" t="s">
        <v>5150</v>
      </c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 t="str">
        <f>IFERROR(__xludf.DUMMYFUNCTION("""COMPUTED_VALUE"""),"Docusign Inc  Com")</f>
        <v>Docusign Inc  Com</v>
      </c>
      <c r="B998" s="12" t="str">
        <f>IFERROR(__xludf.DUMMYFUNCTION("""COMPUTED_VALUE"""),"DOCU-US")</f>
        <v>DOCU-US</v>
      </c>
      <c r="C998" s="12"/>
      <c r="D998" s="13">
        <f>IFERROR(__xludf.DUMMYFUNCTION("""COMPUTED_VALUE"""),45433.0)</f>
        <v>45433</v>
      </c>
      <c r="E998" s="13">
        <f>IFERROR(__xludf.DUMMYFUNCTION("""COMPUTED_VALUE"""),45806.0)</f>
        <v>45806</v>
      </c>
      <c r="F998" s="13">
        <f>IFERROR(__xludf.DUMMYFUNCTION("""COMPUTED_VALUE"""),45806.0)</f>
        <v>45806</v>
      </c>
      <c r="G998" s="16" t="s">
        <v>5150</v>
      </c>
      <c r="H998" s="16" t="s">
        <v>5150</v>
      </c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 t="str">
        <f>IFERROR(__xludf.DUMMYFUNCTION("""COMPUTED_VALUE"""),"Dollar General Corp  Com")</f>
        <v>Dollar General Corp  Com</v>
      </c>
      <c r="B999" s="12" t="str">
        <f>IFERROR(__xludf.DUMMYFUNCTION("""COMPUTED_VALUE"""),"DG-US")</f>
        <v>DG-US</v>
      </c>
      <c r="C999" s="12"/>
      <c r="D999" s="13">
        <f>IFERROR(__xludf.DUMMYFUNCTION("""COMPUTED_VALUE"""),45433.0)</f>
        <v>45433</v>
      </c>
      <c r="E999" s="13">
        <f>IFERROR(__xludf.DUMMYFUNCTION("""COMPUTED_VALUE"""),45806.0)</f>
        <v>45806</v>
      </c>
      <c r="F999" s="13">
        <f>IFERROR(__xludf.DUMMYFUNCTION("""COMPUTED_VALUE"""),45806.0)</f>
        <v>45806</v>
      </c>
      <c r="G999" s="16" t="s">
        <v>5150</v>
      </c>
      <c r="H999" s="16" t="s">
        <v>5150</v>
      </c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 t="str">
        <f>IFERROR(__xludf.DUMMYFUNCTION("""COMPUTED_VALUE"""),"Ss&amp;C Technologies Holdings Inc  Com")</f>
        <v>Ss&amp;C Technologies Holdings Inc  Com</v>
      </c>
      <c r="B1000" s="12" t="str">
        <f>IFERROR(__xludf.DUMMYFUNCTION("""COMPUTED_VALUE"""),"SSNC-US")</f>
        <v>SSNC-US</v>
      </c>
      <c r="C1000" s="12"/>
      <c r="D1000" s="13">
        <f>IFERROR(__xludf.DUMMYFUNCTION("""COMPUTED_VALUE"""),45433.0)</f>
        <v>45433</v>
      </c>
      <c r="E1000" s="13">
        <f>IFERROR(__xludf.DUMMYFUNCTION("""COMPUTED_VALUE"""),45798.0)</f>
        <v>45798</v>
      </c>
      <c r="F1000" s="13">
        <f>IFERROR(__xludf.DUMMYFUNCTION("""COMPUTED_VALUE"""),45798.0)</f>
        <v>45798</v>
      </c>
      <c r="G1000" s="16" t="s">
        <v>5150</v>
      </c>
      <c r="H1000" s="16" t="s">
        <v>5150</v>
      </c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 t="str">
        <f>IFERROR(__xludf.DUMMYFUNCTION("""COMPUTED_VALUE"""),"Carlyle Group Inc  Com")</f>
        <v>Carlyle Group Inc  Com</v>
      </c>
      <c r="B1001" s="12" t="str">
        <f>IFERROR(__xludf.DUMMYFUNCTION("""COMPUTED_VALUE"""),"CG-US")</f>
        <v>CG-US</v>
      </c>
      <c r="C1001" s="12"/>
      <c r="D1001" s="13">
        <f>IFERROR(__xludf.DUMMYFUNCTION("""COMPUTED_VALUE"""),45433.0)</f>
        <v>45433</v>
      </c>
      <c r="E1001" s="13">
        <f>IFERROR(__xludf.DUMMYFUNCTION("""COMPUTED_VALUE"""),45806.0)</f>
        <v>45806</v>
      </c>
      <c r="F1001" s="13">
        <f>IFERROR(__xludf.DUMMYFUNCTION("""COMPUTED_VALUE"""),45806.0)</f>
        <v>45806</v>
      </c>
      <c r="G1001" s="16" t="s">
        <v>5150</v>
      </c>
      <c r="H1001" s="16" t="s">
        <v>5150</v>
      </c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 t="str">
        <f>IFERROR(__xludf.DUMMYFUNCTION("""COMPUTED_VALUE"""),"Sei Investments Co  Com")</f>
        <v>Sei Investments Co  Com</v>
      </c>
      <c r="B1002" s="12" t="str">
        <f>IFERROR(__xludf.DUMMYFUNCTION("""COMPUTED_VALUE"""),"SEIC-US")</f>
        <v>SEIC-US</v>
      </c>
      <c r="C1002" s="12"/>
      <c r="D1002" s="13">
        <f>IFERROR(__xludf.DUMMYFUNCTION("""COMPUTED_VALUE"""),45433.0)</f>
        <v>45433</v>
      </c>
      <c r="E1002" s="13">
        <f>IFERROR(__xludf.DUMMYFUNCTION("""COMPUTED_VALUE"""),45805.0)</f>
        <v>45805</v>
      </c>
      <c r="F1002" s="13">
        <f>IFERROR(__xludf.DUMMYFUNCTION("""COMPUTED_VALUE"""),45805.0)</f>
        <v>45805</v>
      </c>
      <c r="G1002" s="16" t="s">
        <v>5150</v>
      </c>
      <c r="H1002" s="16" t="s">
        <v>5150</v>
      </c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1" t="str">
        <f>IFERROR(__xludf.DUMMYFUNCTION("""COMPUTED_VALUE"""),"Maplebear Inc  Com")</f>
        <v>Maplebear Inc  Com</v>
      </c>
      <c r="B1003" s="12" t="str">
        <f>IFERROR(__xludf.DUMMYFUNCTION("""COMPUTED_VALUE"""),"CART-US")</f>
        <v>CART-US</v>
      </c>
      <c r="C1003" s="12"/>
      <c r="D1003" s="13">
        <f>IFERROR(__xludf.DUMMYFUNCTION("""COMPUTED_VALUE"""),45433.0)</f>
        <v>45433</v>
      </c>
      <c r="E1003" s="13">
        <f>IFERROR(__xludf.DUMMYFUNCTION("""COMPUTED_VALUE"""),45799.0)</f>
        <v>45799</v>
      </c>
      <c r="F1003" s="13">
        <f>IFERROR(__xludf.DUMMYFUNCTION("""COMPUTED_VALUE"""),45799.0)</f>
        <v>45799</v>
      </c>
      <c r="G1003" s="16" t="s">
        <v>5150</v>
      </c>
      <c r="H1003" s="16" t="s">
        <v>5150</v>
      </c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1" t="str">
        <f>IFERROR(__xludf.DUMMYFUNCTION("""COMPUTED_VALUE"""),"Mattel Inc  Com")</f>
        <v>Mattel Inc  Com</v>
      </c>
      <c r="B1004" s="12" t="str">
        <f>IFERROR(__xludf.DUMMYFUNCTION("""COMPUTED_VALUE"""),"MAT-US")</f>
        <v>MAT-US</v>
      </c>
      <c r="C1004" s="12"/>
      <c r="D1004" s="13">
        <f>IFERROR(__xludf.DUMMYFUNCTION("""COMPUTED_VALUE"""),45433.0)</f>
        <v>45433</v>
      </c>
      <c r="E1004" s="13">
        <f>IFERROR(__xludf.DUMMYFUNCTION("""COMPUTED_VALUE"""),45805.0)</f>
        <v>45805</v>
      </c>
      <c r="F1004" s="13">
        <f>IFERROR(__xludf.DUMMYFUNCTION("""COMPUTED_VALUE"""),45805.0)</f>
        <v>45805</v>
      </c>
      <c r="G1004" s="16" t="s">
        <v>5150</v>
      </c>
      <c r="H1004" s="16" t="s">
        <v>5150</v>
      </c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1" t="str">
        <f>IFERROR(__xludf.DUMMYFUNCTION("""COMPUTED_VALUE"""),"Kite Realty Group Trust  Com")</f>
        <v>Kite Realty Group Trust  Com</v>
      </c>
      <c r="B1005" s="12" t="str">
        <f>IFERROR(__xludf.DUMMYFUNCTION("""COMPUTED_VALUE"""),"KRG-US")</f>
        <v>KRG-US</v>
      </c>
      <c r="C1005" s="12"/>
      <c r="D1005" s="13">
        <f>IFERROR(__xludf.DUMMYFUNCTION("""COMPUTED_VALUE"""),45433.0)</f>
        <v>45433</v>
      </c>
      <c r="E1005" s="13">
        <f>IFERROR(__xludf.DUMMYFUNCTION("""COMPUTED_VALUE"""),45793.0)</f>
        <v>45793</v>
      </c>
      <c r="F1005" s="13">
        <f>IFERROR(__xludf.DUMMYFUNCTION("""COMPUTED_VALUE"""),45793.0)</f>
        <v>45793</v>
      </c>
      <c r="G1005" s="16" t="s">
        <v>5150</v>
      </c>
      <c r="H1005" s="16" t="s">
        <v>5150</v>
      </c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1" t="str">
        <f>IFERROR(__xludf.DUMMYFUNCTION("""COMPUTED_VALUE"""),"Upstart Holdings Inc  Com")</f>
        <v>Upstart Holdings Inc  Com</v>
      </c>
      <c r="B1006" s="12" t="str">
        <f>IFERROR(__xludf.DUMMYFUNCTION("""COMPUTED_VALUE"""),"UPST-US")</f>
        <v>UPST-US</v>
      </c>
      <c r="C1006" s="12"/>
      <c r="D1006" s="13">
        <f>IFERROR(__xludf.DUMMYFUNCTION("""COMPUTED_VALUE"""),45433.0)</f>
        <v>45433</v>
      </c>
      <c r="E1006" s="13">
        <f>IFERROR(__xludf.DUMMYFUNCTION("""COMPUTED_VALUE"""),45800.0)</f>
        <v>45800</v>
      </c>
      <c r="F1006" s="13">
        <f>IFERROR(__xludf.DUMMYFUNCTION("""COMPUTED_VALUE"""),45800.0)</f>
        <v>45800</v>
      </c>
      <c r="G1006" s="16" t="s">
        <v>5150</v>
      </c>
      <c r="H1006" s="16" t="s">
        <v>5150</v>
      </c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1" t="str">
        <f>IFERROR(__xludf.DUMMYFUNCTION("""COMPUTED_VALUE"""),"Epr Properties  Sbi")</f>
        <v>Epr Properties  Sbi</v>
      </c>
      <c r="B1007" s="12" t="str">
        <f>IFERROR(__xludf.DUMMYFUNCTION("""COMPUTED_VALUE"""),"EPR-US")</f>
        <v>EPR-US</v>
      </c>
      <c r="C1007" s="12"/>
      <c r="D1007" s="13">
        <f>IFERROR(__xludf.DUMMYFUNCTION("""COMPUTED_VALUE"""),45433.0)</f>
        <v>45433</v>
      </c>
      <c r="E1007" s="13">
        <f>IFERROR(__xludf.DUMMYFUNCTION("""COMPUTED_VALUE"""),45783.0)</f>
        <v>45783</v>
      </c>
      <c r="F1007" s="13">
        <f>IFERROR(__xludf.DUMMYFUNCTION("""COMPUTED_VALUE"""),45783.0)</f>
        <v>45783</v>
      </c>
      <c r="G1007" s="16" t="s">
        <v>5150</v>
      </c>
      <c r="H1007" s="16" t="s">
        <v>5150</v>
      </c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11" t="str">
        <f>IFERROR(__xludf.DUMMYFUNCTION("""COMPUTED_VALUE"""),"Acv Auctions Inc  Cl A")</f>
        <v>Acv Auctions Inc  Cl A</v>
      </c>
      <c r="B1008" s="12" t="str">
        <f>IFERROR(__xludf.DUMMYFUNCTION("""COMPUTED_VALUE"""),"ACVA-US")</f>
        <v>ACVA-US</v>
      </c>
      <c r="C1008" s="12"/>
      <c r="D1008" s="13">
        <f>IFERROR(__xludf.DUMMYFUNCTION("""COMPUTED_VALUE"""),45433.0)</f>
        <v>45433</v>
      </c>
      <c r="E1008" s="13">
        <f>IFERROR(__xludf.DUMMYFUNCTION("""COMPUTED_VALUE"""),45805.0)</f>
        <v>45805</v>
      </c>
      <c r="F1008" s="13">
        <f>IFERROR(__xludf.DUMMYFUNCTION("""COMPUTED_VALUE"""),45805.0)</f>
        <v>45805</v>
      </c>
      <c r="G1008" s="16" t="s">
        <v>5150</v>
      </c>
      <c r="H1008" s="16" t="s">
        <v>5150</v>
      </c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11" t="str">
        <f>IFERROR(__xludf.DUMMYFUNCTION("""COMPUTED_VALUE"""),"Diodes Inc  Com")</f>
        <v>Diodes Inc  Com</v>
      </c>
      <c r="B1009" s="12" t="str">
        <f>IFERROR(__xludf.DUMMYFUNCTION("""COMPUTED_VALUE"""),"DIOD-US")</f>
        <v>DIOD-US</v>
      </c>
      <c r="C1009" s="12"/>
      <c r="D1009" s="13">
        <f>IFERROR(__xludf.DUMMYFUNCTION("""COMPUTED_VALUE"""),45433.0)</f>
        <v>45433</v>
      </c>
      <c r="E1009" s="13">
        <f>IFERROR(__xludf.DUMMYFUNCTION("""COMPUTED_VALUE"""),45789.0)</f>
        <v>45789</v>
      </c>
      <c r="F1009" s="13">
        <f>IFERROR(__xludf.DUMMYFUNCTION("""COMPUTED_VALUE"""),45789.0)</f>
        <v>45789</v>
      </c>
      <c r="G1009" s="16" t="s">
        <v>5150</v>
      </c>
      <c r="H1009" s="16" t="s">
        <v>5150</v>
      </c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11" t="str">
        <f>IFERROR(__xludf.DUMMYFUNCTION("""COMPUTED_VALUE"""),"Irhythm Technologies Inc  Com")</f>
        <v>Irhythm Technologies Inc  Com</v>
      </c>
      <c r="B1010" s="12" t="str">
        <f>IFERROR(__xludf.DUMMYFUNCTION("""COMPUTED_VALUE"""),"IRTC-US")</f>
        <v>IRTC-US</v>
      </c>
      <c r="C1010" s="12"/>
      <c r="D1010" s="13">
        <f>IFERROR(__xludf.DUMMYFUNCTION("""COMPUTED_VALUE"""),45433.0)</f>
        <v>45433</v>
      </c>
      <c r="E1010" s="13">
        <f>IFERROR(__xludf.DUMMYFUNCTION("""COMPUTED_VALUE"""),45805.0)</f>
        <v>45805</v>
      </c>
      <c r="F1010" s="13">
        <f>IFERROR(__xludf.DUMMYFUNCTION("""COMPUTED_VALUE"""),45805.0)</f>
        <v>45805</v>
      </c>
      <c r="G1010" s="16" t="s">
        <v>5150</v>
      </c>
      <c r="H1010" s="16" t="s">
        <v>5150</v>
      </c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11" t="str">
        <f>IFERROR(__xludf.DUMMYFUNCTION("""COMPUTED_VALUE"""),"California Water Service Group  Com")</f>
        <v>California Water Service Group  Com</v>
      </c>
      <c r="B1011" s="12" t="str">
        <f>IFERROR(__xludf.DUMMYFUNCTION("""COMPUTED_VALUE"""),"CWT-US")</f>
        <v>CWT-US</v>
      </c>
      <c r="C1011" s="12"/>
      <c r="D1011" s="13">
        <f>IFERROR(__xludf.DUMMYFUNCTION("""COMPUTED_VALUE"""),45433.0)</f>
        <v>45433</v>
      </c>
      <c r="E1011" s="13">
        <f>IFERROR(__xludf.DUMMYFUNCTION("""COMPUTED_VALUE"""),45805.0)</f>
        <v>45805</v>
      </c>
      <c r="F1011" s="13">
        <f>IFERROR(__xludf.DUMMYFUNCTION("""COMPUTED_VALUE"""),45805.0)</f>
        <v>45805</v>
      </c>
      <c r="G1011" s="16" t="s">
        <v>5150</v>
      </c>
      <c r="H1011" s="16" t="s">
        <v>5150</v>
      </c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11" t="str">
        <f>IFERROR(__xludf.DUMMYFUNCTION("""COMPUTED_VALUE"""),"Ncr Voyix Corp  Com")</f>
        <v>Ncr Voyix Corp  Com</v>
      </c>
      <c r="B1012" s="12" t="str">
        <f>IFERROR(__xludf.DUMMYFUNCTION("""COMPUTED_VALUE"""),"VYX-US")</f>
        <v>VYX-US</v>
      </c>
      <c r="C1012" s="12"/>
      <c r="D1012" s="13">
        <f>IFERROR(__xludf.DUMMYFUNCTION("""COMPUTED_VALUE"""),45433.0)</f>
        <v>45433</v>
      </c>
      <c r="E1012" s="13">
        <f>IFERROR(__xludf.DUMMYFUNCTION("""COMPUTED_VALUE"""),45814.0)</f>
        <v>45814</v>
      </c>
      <c r="F1012" s="13">
        <f>IFERROR(__xludf.DUMMYFUNCTION("""COMPUTED_VALUE"""),45814.0)</f>
        <v>45814</v>
      </c>
      <c r="G1012" s="16" t="s">
        <v>5150</v>
      </c>
      <c r="H1012" s="16" t="s">
        <v>5150</v>
      </c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11" t="str">
        <f>IFERROR(__xludf.DUMMYFUNCTION("""COMPUTED_VALUE"""),"Acadia Pharmaceuticals Inc  Com")</f>
        <v>Acadia Pharmaceuticals Inc  Com</v>
      </c>
      <c r="B1013" s="12" t="str">
        <f>IFERROR(__xludf.DUMMYFUNCTION("""COMPUTED_VALUE"""),"ACAD-US")</f>
        <v>ACAD-US</v>
      </c>
      <c r="C1013" s="12"/>
      <c r="D1013" s="13">
        <f>IFERROR(__xludf.DUMMYFUNCTION("""COMPUTED_VALUE"""),45433.0)</f>
        <v>45433</v>
      </c>
      <c r="E1013" s="13">
        <f>IFERROR(__xludf.DUMMYFUNCTION("""COMPUTED_VALUE"""),45806.0)</f>
        <v>45806</v>
      </c>
      <c r="F1013" s="13">
        <f>IFERROR(__xludf.DUMMYFUNCTION("""COMPUTED_VALUE"""),45806.0)</f>
        <v>45806</v>
      </c>
      <c r="G1013" s="16" t="s">
        <v>5150</v>
      </c>
      <c r="H1013" s="16" t="s">
        <v>5150</v>
      </c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11" t="str">
        <f>IFERROR(__xludf.DUMMYFUNCTION("""COMPUTED_VALUE"""),"Bancorp Inc  Com")</f>
        <v>Bancorp Inc  Com</v>
      </c>
      <c r="B1014" s="12" t="str">
        <f>IFERROR(__xludf.DUMMYFUNCTION("""COMPUTED_VALUE"""),"TBBK-US")</f>
        <v>TBBK-US</v>
      </c>
      <c r="C1014" s="12"/>
      <c r="D1014" s="13">
        <f>IFERROR(__xludf.DUMMYFUNCTION("""COMPUTED_VALUE"""),45433.0)</f>
        <v>45433</v>
      </c>
      <c r="E1014" s="13">
        <f>IFERROR(__xludf.DUMMYFUNCTION("""COMPUTED_VALUE"""),45805.0)</f>
        <v>45805</v>
      </c>
      <c r="F1014" s="13">
        <f>IFERROR(__xludf.DUMMYFUNCTION("""COMPUTED_VALUE"""),45805.0)</f>
        <v>45805</v>
      </c>
      <c r="G1014" s="16" t="s">
        <v>5150</v>
      </c>
      <c r="H1014" s="16" t="s">
        <v>5150</v>
      </c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11" t="str">
        <f>IFERROR(__xludf.DUMMYFUNCTION("""COMPUTED_VALUE"""),"Arvinas Inc  Com")</f>
        <v>Arvinas Inc  Com</v>
      </c>
      <c r="B1015" s="12" t="str">
        <f>IFERROR(__xludf.DUMMYFUNCTION("""COMPUTED_VALUE"""),"ARVN-US")</f>
        <v>ARVN-US</v>
      </c>
      <c r="C1015" s="12"/>
      <c r="D1015" s="13">
        <f>IFERROR(__xludf.DUMMYFUNCTION("""COMPUTED_VALUE"""),45433.0)</f>
        <v>45433</v>
      </c>
      <c r="E1015" s="13">
        <f>IFERROR(__xludf.DUMMYFUNCTION("""COMPUTED_VALUE"""),45833.0)</f>
        <v>45833</v>
      </c>
      <c r="F1015" s="13">
        <f>IFERROR(__xludf.DUMMYFUNCTION("""COMPUTED_VALUE"""),45833.0)</f>
        <v>45833</v>
      </c>
      <c r="G1015" s="16" t="s">
        <v>5150</v>
      </c>
      <c r="H1015" s="16" t="s">
        <v>5150</v>
      </c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11" t="str">
        <f>IFERROR(__xludf.DUMMYFUNCTION("""COMPUTED_VALUE"""),"Umh Properties Inc  Com")</f>
        <v>Umh Properties Inc  Com</v>
      </c>
      <c r="B1016" s="12" t="str">
        <f>IFERROR(__xludf.DUMMYFUNCTION("""COMPUTED_VALUE"""),"UMH-US")</f>
        <v>UMH-US</v>
      </c>
      <c r="C1016" s="12"/>
      <c r="D1016" s="13">
        <f>IFERROR(__xludf.DUMMYFUNCTION("""COMPUTED_VALUE"""),45433.0)</f>
        <v>45433</v>
      </c>
      <c r="E1016" s="13">
        <f>IFERROR(__xludf.DUMMYFUNCTION("""COMPUTED_VALUE"""),45805.0)</f>
        <v>45805</v>
      </c>
      <c r="F1016" s="13">
        <f>IFERROR(__xludf.DUMMYFUNCTION("""COMPUTED_VALUE"""),45805.0)</f>
        <v>45805</v>
      </c>
      <c r="G1016" s="16" t="s">
        <v>5150</v>
      </c>
      <c r="H1016" s="16" t="s">
        <v>5150</v>
      </c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11" t="str">
        <f>IFERROR(__xludf.DUMMYFUNCTION("""COMPUTED_VALUE"""),"Franklin Bsp Realty Trust Inc  Com")</f>
        <v>Franklin Bsp Realty Trust Inc  Com</v>
      </c>
      <c r="B1017" s="12" t="str">
        <f>IFERROR(__xludf.DUMMYFUNCTION("""COMPUTED_VALUE"""),"FBRT-US")</f>
        <v>FBRT-US</v>
      </c>
      <c r="C1017" s="12"/>
      <c r="D1017" s="13">
        <f>IFERROR(__xludf.DUMMYFUNCTION("""COMPUTED_VALUE"""),45433.0)</f>
        <v>45433</v>
      </c>
      <c r="E1017" s="13">
        <f>IFERROR(__xludf.DUMMYFUNCTION("""COMPUTED_VALUE"""),45805.0)</f>
        <v>45805</v>
      </c>
      <c r="F1017" s="13">
        <f>IFERROR(__xludf.DUMMYFUNCTION("""COMPUTED_VALUE"""),45805.0)</f>
        <v>45805</v>
      </c>
      <c r="G1017" s="16" t="s">
        <v>5150</v>
      </c>
      <c r="H1017" s="16" t="s">
        <v>5150</v>
      </c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11" t="str">
        <f>IFERROR(__xludf.DUMMYFUNCTION("""COMPUTED_VALUE"""),"Harmony Biosciences Holdings  Com")</f>
        <v>Harmony Biosciences Holdings  Com</v>
      </c>
      <c r="B1018" s="12" t="str">
        <f>IFERROR(__xludf.DUMMYFUNCTION("""COMPUTED_VALUE"""),"HRMY-US")</f>
        <v>HRMY-US</v>
      </c>
      <c r="C1018" s="12"/>
      <c r="D1018" s="13">
        <f>IFERROR(__xludf.DUMMYFUNCTION("""COMPUTED_VALUE"""),45433.0)</f>
        <v>45433</v>
      </c>
      <c r="E1018" s="13">
        <f>IFERROR(__xludf.DUMMYFUNCTION("""COMPUTED_VALUE"""),45792.0)</f>
        <v>45792</v>
      </c>
      <c r="F1018" s="13">
        <f>IFERROR(__xludf.DUMMYFUNCTION("""COMPUTED_VALUE"""),45792.0)</f>
        <v>45792</v>
      </c>
      <c r="G1018" s="12"/>
      <c r="H1018" s="12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11" t="str">
        <f>IFERROR(__xludf.DUMMYFUNCTION("""COMPUTED_VALUE"""),"Ftai Infrastructure Inc  Com Wi")</f>
        <v>Ftai Infrastructure Inc  Com Wi</v>
      </c>
      <c r="B1019" s="12" t="str">
        <f>IFERROR(__xludf.DUMMYFUNCTION("""COMPUTED_VALUE"""),"FIP-US")</f>
        <v>FIP-US</v>
      </c>
      <c r="C1019" s="12"/>
      <c r="D1019" s="13">
        <f>IFERROR(__xludf.DUMMYFUNCTION("""COMPUTED_VALUE"""),45433.0)</f>
        <v>45433</v>
      </c>
      <c r="E1019" s="13">
        <f>IFERROR(__xludf.DUMMYFUNCTION("""COMPUTED_VALUE"""),45806.0)</f>
        <v>45806</v>
      </c>
      <c r="F1019" s="13">
        <f>IFERROR(__xludf.DUMMYFUNCTION("""COMPUTED_VALUE"""),45806.0)</f>
        <v>45806</v>
      </c>
      <c r="G1019" s="12"/>
      <c r="H1019" s="12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11" t="str">
        <f>IFERROR(__xludf.DUMMYFUNCTION("""COMPUTED_VALUE"""),"Vir Biotechnology Inc  Com")</f>
        <v>Vir Biotechnology Inc  Com</v>
      </c>
      <c r="B1020" s="12" t="str">
        <f>IFERROR(__xludf.DUMMYFUNCTION("""COMPUTED_VALUE"""),"VIR-US")</f>
        <v>VIR-US</v>
      </c>
      <c r="C1020" s="12"/>
      <c r="D1020" s="13">
        <f>IFERROR(__xludf.DUMMYFUNCTION("""COMPUTED_VALUE"""),45433.0)</f>
        <v>45433</v>
      </c>
      <c r="E1020" s="13">
        <f>IFERROR(__xludf.DUMMYFUNCTION("""COMPUTED_VALUE"""),45806.0)</f>
        <v>45806</v>
      </c>
      <c r="F1020" s="13">
        <f>IFERROR(__xludf.DUMMYFUNCTION("""COMPUTED_VALUE"""),45806.0)</f>
        <v>45806</v>
      </c>
      <c r="G1020" s="12"/>
      <c r="H1020" s="12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11" t="str">
        <f>IFERROR(__xludf.DUMMYFUNCTION("""COMPUTED_VALUE"""),"Agilon Health Inc  Com")</f>
        <v>Agilon Health Inc  Com</v>
      </c>
      <c r="B1021" s="12" t="str">
        <f>IFERROR(__xludf.DUMMYFUNCTION("""COMPUTED_VALUE"""),"AGL-US")</f>
        <v>AGL-US</v>
      </c>
      <c r="C1021" s="12"/>
      <c r="D1021" s="13">
        <f>IFERROR(__xludf.DUMMYFUNCTION("""COMPUTED_VALUE"""),45433.0)</f>
        <v>45433</v>
      </c>
      <c r="E1021" s="13">
        <f>IFERROR(__xludf.DUMMYFUNCTION("""COMPUTED_VALUE"""),45805.0)</f>
        <v>45805</v>
      </c>
      <c r="F1021" s="13">
        <f>IFERROR(__xludf.DUMMYFUNCTION("""COMPUTED_VALUE"""),45805.0)</f>
        <v>45805</v>
      </c>
      <c r="G1021" s="12"/>
      <c r="H1021" s="12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11" t="str">
        <f>IFERROR(__xludf.DUMMYFUNCTION("""COMPUTED_VALUE"""),"Metropolitan Bank Holding Corp  Com")</f>
        <v>Metropolitan Bank Holding Corp  Com</v>
      </c>
      <c r="B1022" s="12" t="str">
        <f>IFERROR(__xludf.DUMMYFUNCTION("""COMPUTED_VALUE"""),"MCB-US")</f>
        <v>MCB-US</v>
      </c>
      <c r="C1022" s="12"/>
      <c r="D1022" s="13">
        <f>IFERROR(__xludf.DUMMYFUNCTION("""COMPUTED_VALUE"""),45433.0)</f>
        <v>45433</v>
      </c>
      <c r="E1022" s="13">
        <f>IFERROR(__xludf.DUMMYFUNCTION("""COMPUTED_VALUE"""),45805.0)</f>
        <v>45805</v>
      </c>
      <c r="F1022" s="13">
        <f>IFERROR(__xludf.DUMMYFUNCTION("""COMPUTED_VALUE"""),45805.0)</f>
        <v>45805</v>
      </c>
      <c r="G1022" s="12"/>
      <c r="H1022" s="12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11" t="str">
        <f>IFERROR(__xludf.DUMMYFUNCTION("""COMPUTED_VALUE"""),"Life360 Inc  Com")</f>
        <v>Life360 Inc  Com</v>
      </c>
      <c r="B1023" s="12" t="str">
        <f>IFERROR(__xludf.DUMMYFUNCTION("""COMPUTED_VALUE"""),"LIF-US")</f>
        <v>LIF-US</v>
      </c>
      <c r="C1023" s="12"/>
      <c r="D1023" s="13">
        <f>IFERROR(__xludf.DUMMYFUNCTION("""COMPUTED_VALUE"""),45433.0)</f>
        <v>45433</v>
      </c>
      <c r="E1023" s="13">
        <f>IFERROR(__xludf.DUMMYFUNCTION("""COMPUTED_VALUE"""),45804.0)</f>
        <v>45804</v>
      </c>
      <c r="F1023" s="13">
        <f>IFERROR(__xludf.DUMMYFUNCTION("""COMPUTED_VALUE"""),45804.0)</f>
        <v>45804</v>
      </c>
      <c r="G1023" s="12"/>
      <c r="H1023" s="12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11" t="str">
        <f>IFERROR(__xludf.DUMMYFUNCTION("""COMPUTED_VALUE"""),"Taysha Gene Therapies Inc  Com")</f>
        <v>Taysha Gene Therapies Inc  Com</v>
      </c>
      <c r="B1024" s="12" t="str">
        <f>IFERROR(__xludf.DUMMYFUNCTION("""COMPUTED_VALUE"""),"TSHA-US")</f>
        <v>TSHA-US</v>
      </c>
      <c r="C1024" s="12"/>
      <c r="D1024" s="13">
        <f>IFERROR(__xludf.DUMMYFUNCTION("""COMPUTED_VALUE"""),45433.0)</f>
        <v>45433</v>
      </c>
      <c r="E1024" s="13">
        <f>IFERROR(__xludf.DUMMYFUNCTION("""COMPUTED_VALUE"""),45810.0)</f>
        <v>45810</v>
      </c>
      <c r="F1024" s="13">
        <f>IFERROR(__xludf.DUMMYFUNCTION("""COMPUTED_VALUE"""),45810.0)</f>
        <v>45810</v>
      </c>
      <c r="G1024" s="12"/>
      <c r="H1024" s="12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>
      <c r="A1025" s="11" t="str">
        <f>IFERROR(__xludf.DUMMYFUNCTION("""COMPUTED_VALUE"""),"Cvr Energy Inc  Com")</f>
        <v>Cvr Energy Inc  Com</v>
      </c>
      <c r="B1025" s="12" t="str">
        <f>IFERROR(__xludf.DUMMYFUNCTION("""COMPUTED_VALUE"""),"CVI-US")</f>
        <v>CVI-US</v>
      </c>
      <c r="C1025" s="12"/>
      <c r="D1025" s="13">
        <f>IFERROR(__xludf.DUMMYFUNCTION("""COMPUTED_VALUE"""),45433.0)</f>
        <v>45433</v>
      </c>
      <c r="E1025" s="13">
        <f>IFERROR(__xludf.DUMMYFUNCTION("""COMPUTED_VALUE"""),45813.0)</f>
        <v>45813</v>
      </c>
      <c r="F1025" s="13">
        <f>IFERROR(__xludf.DUMMYFUNCTION("""COMPUTED_VALUE"""),45813.0)</f>
        <v>45813</v>
      </c>
      <c r="G1025" s="12"/>
      <c r="H1025" s="12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11" t="str">
        <f>IFERROR(__xludf.DUMMYFUNCTION("""COMPUTED_VALUE"""),"89Bio Inc  Com")</f>
        <v>89Bio Inc  Com</v>
      </c>
      <c r="B1026" s="12" t="str">
        <f>IFERROR(__xludf.DUMMYFUNCTION("""COMPUTED_VALUE"""),"ETNB-US")</f>
        <v>ETNB-US</v>
      </c>
      <c r="C1026" s="12"/>
      <c r="D1026" s="13">
        <f>IFERROR(__xludf.DUMMYFUNCTION("""COMPUTED_VALUE"""),45433.0)</f>
        <v>45433</v>
      </c>
      <c r="E1026" s="13">
        <f>IFERROR(__xludf.DUMMYFUNCTION("""COMPUTED_VALUE"""),45805.0)</f>
        <v>45805</v>
      </c>
      <c r="F1026" s="13">
        <f>IFERROR(__xludf.DUMMYFUNCTION("""COMPUTED_VALUE"""),45805.0)</f>
        <v>45805</v>
      </c>
      <c r="G1026" s="12"/>
      <c r="H1026" s="12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>
      <c r="A1027" s="11" t="str">
        <f>IFERROR(__xludf.DUMMYFUNCTION("""COMPUTED_VALUE"""),"Flushing Financial Corp  Com")</f>
        <v>Flushing Financial Corp  Com</v>
      </c>
      <c r="B1027" s="12" t="str">
        <f>IFERROR(__xludf.DUMMYFUNCTION("""COMPUTED_VALUE"""),"FFIC-US")</f>
        <v>FFIC-US</v>
      </c>
      <c r="C1027" s="12"/>
      <c r="D1027" s="13">
        <f>IFERROR(__xludf.DUMMYFUNCTION("""COMPUTED_VALUE"""),45433.0)</f>
        <v>45433</v>
      </c>
      <c r="E1027" s="13">
        <f>IFERROR(__xludf.DUMMYFUNCTION("""COMPUTED_VALUE"""),45805.0)</f>
        <v>45805</v>
      </c>
      <c r="F1027" s="13">
        <f>IFERROR(__xludf.DUMMYFUNCTION("""COMPUTED_VALUE"""),45805.0)</f>
        <v>45805</v>
      </c>
      <c r="G1027" s="12"/>
      <c r="H1027" s="12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11" t="str">
        <f>IFERROR(__xludf.DUMMYFUNCTION("""COMPUTED_VALUE"""),"Tyra Biosciences Inc  Com")</f>
        <v>Tyra Biosciences Inc  Com</v>
      </c>
      <c r="B1028" s="12" t="str">
        <f>IFERROR(__xludf.DUMMYFUNCTION("""COMPUTED_VALUE"""),"TYRA-US")</f>
        <v>TYRA-US</v>
      </c>
      <c r="C1028" s="12"/>
      <c r="D1028" s="13">
        <f>IFERROR(__xludf.DUMMYFUNCTION("""COMPUTED_VALUE"""),45433.0)</f>
        <v>45433</v>
      </c>
      <c r="E1028" s="13">
        <f>IFERROR(__xludf.DUMMYFUNCTION("""COMPUTED_VALUE"""),45806.0)</f>
        <v>45806</v>
      </c>
      <c r="F1028" s="13">
        <f>IFERROR(__xludf.DUMMYFUNCTION("""COMPUTED_VALUE"""),45806.0)</f>
        <v>45806</v>
      </c>
      <c r="G1028" s="12"/>
      <c r="H1028" s="12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>
      <c r="A1029" s="11" t="str">
        <f>IFERROR(__xludf.DUMMYFUNCTION("""COMPUTED_VALUE"""),"Advantage Solutions Inc  Com")</f>
        <v>Advantage Solutions Inc  Com</v>
      </c>
      <c r="B1029" s="12" t="str">
        <f>IFERROR(__xludf.DUMMYFUNCTION("""COMPUTED_VALUE"""),"ADV-US")</f>
        <v>ADV-US</v>
      </c>
      <c r="C1029" s="12"/>
      <c r="D1029" s="13">
        <f>IFERROR(__xludf.DUMMYFUNCTION("""COMPUTED_VALUE"""),45433.0)</f>
        <v>45433</v>
      </c>
      <c r="E1029" s="13">
        <f>IFERROR(__xludf.DUMMYFUNCTION("""COMPUTED_VALUE"""),45805.0)</f>
        <v>45805</v>
      </c>
      <c r="F1029" s="13">
        <f>IFERROR(__xludf.DUMMYFUNCTION("""COMPUTED_VALUE"""),45805.0)</f>
        <v>45805</v>
      </c>
      <c r="G1029" s="12"/>
      <c r="H1029" s="12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11" t="str">
        <f>IFERROR(__xludf.DUMMYFUNCTION("""COMPUTED_VALUE"""),"Larimar Therapeutics Inc  Com")</f>
        <v>Larimar Therapeutics Inc  Com</v>
      </c>
      <c r="B1030" s="12" t="str">
        <f>IFERROR(__xludf.DUMMYFUNCTION("""COMPUTED_VALUE"""),"LRMR-US")</f>
        <v>LRMR-US</v>
      </c>
      <c r="C1030" s="12"/>
      <c r="D1030" s="13">
        <f>IFERROR(__xludf.DUMMYFUNCTION("""COMPUTED_VALUE"""),45433.0)</f>
        <v>45433</v>
      </c>
      <c r="E1030" s="13">
        <f>IFERROR(__xludf.DUMMYFUNCTION("""COMPUTED_VALUE"""),45790.0)</f>
        <v>45790</v>
      </c>
      <c r="F1030" s="13">
        <f>IFERROR(__xludf.DUMMYFUNCTION("""COMPUTED_VALUE"""),45790.0)</f>
        <v>45790</v>
      </c>
      <c r="G1030" s="12"/>
      <c r="H1030" s="12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>
      <c r="A1031" s="11" t="str">
        <f>IFERROR(__xludf.DUMMYFUNCTION("""COMPUTED_VALUE"""),"Stem Inc  Com")</f>
        <v>Stem Inc  Com</v>
      </c>
      <c r="B1031" s="12" t="str">
        <f>IFERROR(__xludf.DUMMYFUNCTION("""COMPUTED_VALUE"""),"STEM-US")</f>
        <v>STEM-US</v>
      </c>
      <c r="C1031" s="12"/>
      <c r="D1031" s="13">
        <f>IFERROR(__xludf.DUMMYFUNCTION("""COMPUTED_VALUE"""),45433.0)</f>
        <v>45433</v>
      </c>
      <c r="E1031" s="13">
        <f>IFERROR(__xludf.DUMMYFUNCTION("""COMPUTED_VALUE"""),45812.0)</f>
        <v>45812</v>
      </c>
      <c r="F1031" s="13">
        <f>IFERROR(__xludf.DUMMYFUNCTION("""COMPUTED_VALUE"""),45812.0)</f>
        <v>45812</v>
      </c>
      <c r="G1031" s="12"/>
      <c r="H1031" s="12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11" t="str">
        <f>IFERROR(__xludf.DUMMYFUNCTION("""COMPUTED_VALUE"""),"Coherus Biosciences Inc  Com")</f>
        <v>Coherus Biosciences Inc  Com</v>
      </c>
      <c r="B1032" s="12" t="str">
        <f>IFERROR(__xludf.DUMMYFUNCTION("""COMPUTED_VALUE"""),"CHRS-US")</f>
        <v>CHRS-US</v>
      </c>
      <c r="C1032" s="12"/>
      <c r="D1032" s="13">
        <f>IFERROR(__xludf.DUMMYFUNCTION("""COMPUTED_VALUE"""),45434.0)</f>
        <v>45434</v>
      </c>
      <c r="E1032" s="13">
        <f>IFERROR(__xludf.DUMMYFUNCTION("""COMPUTED_VALUE"""),45819.0)</f>
        <v>45819</v>
      </c>
      <c r="F1032" s="13">
        <f>IFERROR(__xludf.DUMMYFUNCTION("""COMPUTED_VALUE"""),45819.0)</f>
        <v>45819</v>
      </c>
      <c r="G1032" s="12"/>
      <c r="H1032" s="12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>
      <c r="A1033" s="11" t="str">
        <f>IFERROR(__xludf.DUMMYFUNCTION("""COMPUTED_VALUE"""),"Merck &amp; Co Inc  Com")</f>
        <v>Merck &amp; Co Inc  Com</v>
      </c>
      <c r="B1033" s="12" t="str">
        <f>IFERROR(__xludf.DUMMYFUNCTION("""COMPUTED_VALUE"""),"MRK-US")</f>
        <v>MRK-US</v>
      </c>
      <c r="C1033" s="12"/>
      <c r="D1033" s="13">
        <f>IFERROR(__xludf.DUMMYFUNCTION("""COMPUTED_VALUE"""),45434.0)</f>
        <v>45434</v>
      </c>
      <c r="E1033" s="13">
        <f>IFERROR(__xludf.DUMMYFUNCTION("""COMPUTED_VALUE"""),45804.0)</f>
        <v>45804</v>
      </c>
      <c r="F1033" s="13">
        <f>IFERROR(__xludf.DUMMYFUNCTION("""COMPUTED_VALUE"""),45804.0)</f>
        <v>45804</v>
      </c>
      <c r="G1033" s="12"/>
      <c r="H1033" s="12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11" t="str">
        <f>IFERROR(__xludf.DUMMYFUNCTION("""COMPUTED_VALUE"""),"Trade Desk Inc  Cl A")</f>
        <v>Trade Desk Inc  Cl A</v>
      </c>
      <c r="B1034" s="12" t="str">
        <f>IFERROR(__xludf.DUMMYFUNCTION("""COMPUTED_VALUE"""),"TTD-US")</f>
        <v>TTD-US</v>
      </c>
      <c r="C1034" s="12"/>
      <c r="D1034" s="13">
        <f>IFERROR(__xludf.DUMMYFUNCTION("""COMPUTED_VALUE"""),45434.0)</f>
        <v>45434</v>
      </c>
      <c r="E1034" s="13">
        <f>IFERROR(__xludf.DUMMYFUNCTION("""COMPUTED_VALUE"""),45804.0)</f>
        <v>45804</v>
      </c>
      <c r="F1034" s="13">
        <f>IFERROR(__xludf.DUMMYFUNCTION("""COMPUTED_VALUE"""),45804.0)</f>
        <v>45804</v>
      </c>
      <c r="G1034" s="16" t="s">
        <v>5150</v>
      </c>
      <c r="H1034" s="16" t="s">
        <v>5150</v>
      </c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>
      <c r="A1035" s="11" t="str">
        <f>IFERROR(__xludf.DUMMYFUNCTION("""COMPUTED_VALUE"""),"Vontier Corp  Com")</f>
        <v>Vontier Corp  Com</v>
      </c>
      <c r="B1035" s="12" t="str">
        <f>IFERROR(__xludf.DUMMYFUNCTION("""COMPUTED_VALUE"""),"VNT-US")</f>
        <v>VNT-US</v>
      </c>
      <c r="C1035" s="12"/>
      <c r="D1035" s="13">
        <f>IFERROR(__xludf.DUMMYFUNCTION("""COMPUTED_VALUE"""),45434.0)</f>
        <v>45434</v>
      </c>
      <c r="E1035" s="13">
        <f>IFERROR(__xludf.DUMMYFUNCTION("""COMPUTED_VALUE"""),45804.0)</f>
        <v>45804</v>
      </c>
      <c r="F1035" s="13">
        <f>IFERROR(__xludf.DUMMYFUNCTION("""COMPUTED_VALUE"""),45804.0)</f>
        <v>45804</v>
      </c>
      <c r="G1035" s="16" t="s">
        <v>5150</v>
      </c>
      <c r="H1035" s="16" t="s">
        <v>5150</v>
      </c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>
      <c r="A1036" s="11" t="str">
        <f>IFERROR(__xludf.DUMMYFUNCTION("""COMPUTED_VALUE"""),"Celsius Holdings Inc  Com")</f>
        <v>Celsius Holdings Inc  Com</v>
      </c>
      <c r="B1036" s="12" t="str">
        <f>IFERROR(__xludf.DUMMYFUNCTION("""COMPUTED_VALUE"""),"CELH-US")</f>
        <v>CELH-US</v>
      </c>
      <c r="C1036" s="12"/>
      <c r="D1036" s="13">
        <f>IFERROR(__xludf.DUMMYFUNCTION("""COMPUTED_VALUE"""),45434.0)</f>
        <v>45434</v>
      </c>
      <c r="E1036" s="13">
        <f>IFERROR(__xludf.DUMMYFUNCTION("""COMPUTED_VALUE"""),45805.0)</f>
        <v>45805</v>
      </c>
      <c r="F1036" s="13">
        <f>IFERROR(__xludf.DUMMYFUNCTION("""COMPUTED_VALUE"""),45805.0)</f>
        <v>45805</v>
      </c>
      <c r="G1036" s="16" t="s">
        <v>5150</v>
      </c>
      <c r="H1036" s="16" t="s">
        <v>5150</v>
      </c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>
      <c r="A1037" s="11" t="str">
        <f>IFERROR(__xludf.DUMMYFUNCTION("""COMPUTED_VALUE"""),"Silgan Holdings Inc  Com")</f>
        <v>Silgan Holdings Inc  Com</v>
      </c>
      <c r="B1037" s="12" t="str">
        <f>IFERROR(__xludf.DUMMYFUNCTION("""COMPUTED_VALUE"""),"SLGN-US")</f>
        <v>SLGN-US</v>
      </c>
      <c r="C1037" s="12"/>
      <c r="D1037" s="13">
        <f>IFERROR(__xludf.DUMMYFUNCTION("""COMPUTED_VALUE"""),45434.0)</f>
        <v>45434</v>
      </c>
      <c r="E1037" s="13">
        <f>IFERROR(__xludf.DUMMYFUNCTION("""COMPUTED_VALUE"""),45804.0)</f>
        <v>45804</v>
      </c>
      <c r="F1037" s="13">
        <f>IFERROR(__xludf.DUMMYFUNCTION("""COMPUTED_VALUE"""),45804.0)</f>
        <v>45804</v>
      </c>
      <c r="G1037" s="16" t="s">
        <v>5150</v>
      </c>
      <c r="H1037" s="16" t="s">
        <v>5150</v>
      </c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>
      <c r="A1038" s="11" t="str">
        <f>IFERROR(__xludf.DUMMYFUNCTION("""COMPUTED_VALUE"""),"First Financial Bancorp/Oh  Com")</f>
        <v>First Financial Bancorp/Oh  Com</v>
      </c>
      <c r="B1038" s="12" t="str">
        <f>IFERROR(__xludf.DUMMYFUNCTION("""COMPUTED_VALUE"""),"FFBC-US")</f>
        <v>FFBC-US</v>
      </c>
      <c r="C1038" s="12"/>
      <c r="D1038" s="13">
        <f>IFERROR(__xludf.DUMMYFUNCTION("""COMPUTED_VALUE"""),45434.0)</f>
        <v>45434</v>
      </c>
      <c r="E1038" s="13">
        <f>IFERROR(__xludf.DUMMYFUNCTION("""COMPUTED_VALUE"""),45804.0)</f>
        <v>45804</v>
      </c>
      <c r="F1038" s="13">
        <f>IFERROR(__xludf.DUMMYFUNCTION("""COMPUTED_VALUE"""),45804.0)</f>
        <v>45804</v>
      </c>
      <c r="G1038" s="16" t="s">
        <v>5150</v>
      </c>
      <c r="H1038" s="16" t="s">
        <v>5150</v>
      </c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>
      <c r="A1039" s="11" t="str">
        <f>IFERROR(__xludf.DUMMYFUNCTION("""COMPUTED_VALUE"""),"Customers Bancorp Inc  Com")</f>
        <v>Customers Bancorp Inc  Com</v>
      </c>
      <c r="B1039" s="12" t="str">
        <f>IFERROR(__xludf.DUMMYFUNCTION("""COMPUTED_VALUE"""),"CUBI-US")</f>
        <v>CUBI-US</v>
      </c>
      <c r="C1039" s="12"/>
      <c r="D1039" s="13">
        <f>IFERROR(__xludf.DUMMYFUNCTION("""COMPUTED_VALUE"""),45434.0)</f>
        <v>45434</v>
      </c>
      <c r="E1039" s="13">
        <f>IFERROR(__xludf.DUMMYFUNCTION("""COMPUTED_VALUE"""),45804.0)</f>
        <v>45804</v>
      </c>
      <c r="F1039" s="13">
        <f>IFERROR(__xludf.DUMMYFUNCTION("""COMPUTED_VALUE"""),45804.0)</f>
        <v>45804</v>
      </c>
      <c r="G1039" s="16" t="s">
        <v>5150</v>
      </c>
      <c r="H1039" s="16" t="s">
        <v>5150</v>
      </c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>
      <c r="A1040" s="11" t="str">
        <f>IFERROR(__xludf.DUMMYFUNCTION("""COMPUTED_VALUE"""),"Healthcare Services Group Inc  Com")</f>
        <v>Healthcare Services Group Inc  Com</v>
      </c>
      <c r="B1040" s="12" t="str">
        <f>IFERROR(__xludf.DUMMYFUNCTION("""COMPUTED_VALUE"""),"HCSG-US")</f>
        <v>HCSG-US</v>
      </c>
      <c r="C1040" s="12"/>
      <c r="D1040" s="13">
        <f>IFERROR(__xludf.DUMMYFUNCTION("""COMPUTED_VALUE"""),45434.0)</f>
        <v>45434</v>
      </c>
      <c r="E1040" s="13">
        <f>IFERROR(__xludf.DUMMYFUNCTION("""COMPUTED_VALUE"""),45804.0)</f>
        <v>45804</v>
      </c>
      <c r="F1040" s="13">
        <f>IFERROR(__xludf.DUMMYFUNCTION("""COMPUTED_VALUE"""),45804.0)</f>
        <v>45804</v>
      </c>
      <c r="G1040" s="16" t="s">
        <v>5150</v>
      </c>
      <c r="H1040" s="16" t="s">
        <v>5150</v>
      </c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>
      <c r="A1041" s="11" t="str">
        <f>IFERROR(__xludf.DUMMYFUNCTION("""COMPUTED_VALUE"""),"El Pollo Loco Holdings Inc  Com")</f>
        <v>El Pollo Loco Holdings Inc  Com</v>
      </c>
      <c r="B1041" s="12" t="str">
        <f>IFERROR(__xludf.DUMMYFUNCTION("""COMPUTED_VALUE"""),"LOCO-US")</f>
        <v>LOCO-US</v>
      </c>
      <c r="C1041" s="12"/>
      <c r="D1041" s="13">
        <f>IFERROR(__xludf.DUMMYFUNCTION("""COMPUTED_VALUE"""),45434.0)</f>
        <v>45434</v>
      </c>
      <c r="E1041" s="13">
        <f>IFERROR(__xludf.DUMMYFUNCTION("""COMPUTED_VALUE"""),45806.0)</f>
        <v>45806</v>
      </c>
      <c r="F1041" s="13">
        <f>IFERROR(__xludf.DUMMYFUNCTION("""COMPUTED_VALUE"""),45806.0)</f>
        <v>45806</v>
      </c>
      <c r="G1041" s="16" t="s">
        <v>5150</v>
      </c>
      <c r="H1041" s="16" t="s">
        <v>5150</v>
      </c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>
      <c r="A1042" s="11" t="str">
        <f>IFERROR(__xludf.DUMMYFUNCTION("""COMPUTED_VALUE"""),"Consolidated Water Co Ltd  Ord")</f>
        <v>Consolidated Water Co Ltd  Ord</v>
      </c>
      <c r="B1042" s="12" t="str">
        <f>IFERROR(__xludf.DUMMYFUNCTION("""COMPUTED_VALUE"""),"CWCO-US")</f>
        <v>CWCO-US</v>
      </c>
      <c r="C1042" s="12"/>
      <c r="D1042" s="13">
        <f>IFERROR(__xludf.DUMMYFUNCTION("""COMPUTED_VALUE"""),45434.0)</f>
        <v>45434</v>
      </c>
      <c r="E1042" s="13">
        <f>IFERROR(__xludf.DUMMYFUNCTION("""COMPUTED_VALUE"""),45804.0)</f>
        <v>45804</v>
      </c>
      <c r="F1042" s="13">
        <f>IFERROR(__xludf.DUMMYFUNCTION("""COMPUTED_VALUE"""),45804.0)</f>
        <v>45804</v>
      </c>
      <c r="G1042" s="16" t="s">
        <v>5150</v>
      </c>
      <c r="H1042" s="16" t="s">
        <v>5150</v>
      </c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>
      <c r="A1043" s="11" t="str">
        <f>IFERROR(__xludf.DUMMYFUNCTION("""COMPUTED_VALUE"""),"Hbt Financial Inc  Com")</f>
        <v>Hbt Financial Inc  Com</v>
      </c>
      <c r="B1043" s="12" t="str">
        <f>IFERROR(__xludf.DUMMYFUNCTION("""COMPUTED_VALUE"""),"HBT-US")</f>
        <v>HBT-US</v>
      </c>
      <c r="C1043" s="12"/>
      <c r="D1043" s="13">
        <f>IFERROR(__xludf.DUMMYFUNCTION("""COMPUTED_VALUE"""),45434.0)</f>
        <v>45434</v>
      </c>
      <c r="E1043" s="13">
        <f>IFERROR(__xludf.DUMMYFUNCTION("""COMPUTED_VALUE"""),45797.0)</f>
        <v>45797</v>
      </c>
      <c r="F1043" s="13">
        <f>IFERROR(__xludf.DUMMYFUNCTION("""COMPUTED_VALUE"""),45797.0)</f>
        <v>45797</v>
      </c>
      <c r="G1043" s="16" t="s">
        <v>5150</v>
      </c>
      <c r="H1043" s="16" t="s">
        <v>5150</v>
      </c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>
      <c r="A1044" s="11" t="str">
        <f>IFERROR(__xludf.DUMMYFUNCTION("""COMPUTED_VALUE"""),"Onity Group Inc  Com")</f>
        <v>Onity Group Inc  Com</v>
      </c>
      <c r="B1044" s="12" t="str">
        <f>IFERROR(__xludf.DUMMYFUNCTION("""COMPUTED_VALUE"""),"ONIT-US")</f>
        <v>ONIT-US</v>
      </c>
      <c r="C1044" s="12"/>
      <c r="D1044" s="13">
        <f>IFERROR(__xludf.DUMMYFUNCTION("""COMPUTED_VALUE"""),45434.0)</f>
        <v>45434</v>
      </c>
      <c r="E1044" s="13">
        <f>IFERROR(__xludf.DUMMYFUNCTION("""COMPUTED_VALUE"""),45798.0)</f>
        <v>45798</v>
      </c>
      <c r="F1044" s="13">
        <f>IFERROR(__xludf.DUMMYFUNCTION("""COMPUTED_VALUE"""),45798.0)</f>
        <v>45798</v>
      </c>
      <c r="G1044" s="16" t="s">
        <v>5150</v>
      </c>
      <c r="H1044" s="16" t="s">
        <v>5150</v>
      </c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>
      <c r="A1045" s="11" t="str">
        <f>IFERROR(__xludf.DUMMYFUNCTION("""COMPUTED_VALUE"""),"First Foundation Inc  Com")</f>
        <v>First Foundation Inc  Com</v>
      </c>
      <c r="B1045" s="12" t="str">
        <f>IFERROR(__xludf.DUMMYFUNCTION("""COMPUTED_VALUE"""),"FFWM-US")</f>
        <v>FFWM-US</v>
      </c>
      <c r="C1045" s="12"/>
      <c r="D1045" s="13">
        <f>IFERROR(__xludf.DUMMYFUNCTION("""COMPUTED_VALUE"""),45434.0)</f>
        <v>45434</v>
      </c>
      <c r="E1045" s="13">
        <f>IFERROR(__xludf.DUMMYFUNCTION("""COMPUTED_VALUE"""),45806.0)</f>
        <v>45806</v>
      </c>
      <c r="F1045" s="13">
        <f>IFERROR(__xludf.DUMMYFUNCTION("""COMPUTED_VALUE"""),45806.0)</f>
        <v>45806</v>
      </c>
      <c r="G1045" s="16" t="s">
        <v>5150</v>
      </c>
      <c r="H1045" s="16" t="s">
        <v>5150</v>
      </c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>
      <c r="A1046" s="11" t="str">
        <f>IFERROR(__xludf.DUMMYFUNCTION("""COMPUTED_VALUE"""),"Quanta Services Inc  Com")</f>
        <v>Quanta Services Inc  Com</v>
      </c>
      <c r="B1046" s="12" t="str">
        <f>IFERROR(__xludf.DUMMYFUNCTION("""COMPUTED_VALUE"""),"PWR-US")</f>
        <v>PWR-US</v>
      </c>
      <c r="C1046" s="12"/>
      <c r="D1046" s="13">
        <f>IFERROR(__xludf.DUMMYFUNCTION("""COMPUTED_VALUE"""),45434.0)</f>
        <v>45434</v>
      </c>
      <c r="E1046" s="13">
        <f>IFERROR(__xludf.DUMMYFUNCTION("""COMPUTED_VALUE"""),45799.0)</f>
        <v>45799</v>
      </c>
      <c r="F1046" s="13">
        <f>IFERROR(__xludf.DUMMYFUNCTION("""COMPUTED_VALUE"""),45799.0)</f>
        <v>45799</v>
      </c>
      <c r="G1046" s="16" t="s">
        <v>5150</v>
      </c>
      <c r="H1046" s="16" t="s">
        <v>5150</v>
      </c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>
      <c r="A1047" s="11" t="str">
        <f>IFERROR(__xludf.DUMMYFUNCTION("""COMPUTED_VALUE"""),"East West Bancorp Inc  Com")</f>
        <v>East West Bancorp Inc  Com</v>
      </c>
      <c r="B1047" s="12" t="str">
        <f>IFERROR(__xludf.DUMMYFUNCTION("""COMPUTED_VALUE"""),"EWBC-US")</f>
        <v>EWBC-US</v>
      </c>
      <c r="C1047" s="12"/>
      <c r="D1047" s="13">
        <f>IFERROR(__xludf.DUMMYFUNCTION("""COMPUTED_VALUE"""),45434.0)</f>
        <v>45434</v>
      </c>
      <c r="E1047" s="13">
        <f>IFERROR(__xludf.DUMMYFUNCTION("""COMPUTED_VALUE"""),45797.0)</f>
        <v>45797</v>
      </c>
      <c r="F1047" s="13">
        <f>IFERROR(__xludf.DUMMYFUNCTION("""COMPUTED_VALUE"""),45797.0)</f>
        <v>45797</v>
      </c>
      <c r="G1047" s="16" t="s">
        <v>5150</v>
      </c>
      <c r="H1047" s="16" t="s">
        <v>5150</v>
      </c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>
      <c r="A1048" s="11" t="str">
        <f>IFERROR(__xludf.DUMMYFUNCTION("""COMPUTED_VALUE"""),"Southern Copper Corp  Com")</f>
        <v>Southern Copper Corp  Com</v>
      </c>
      <c r="B1048" s="12" t="str">
        <f>IFERROR(__xludf.DUMMYFUNCTION("""COMPUTED_VALUE"""),"SCCO-US")</f>
        <v>SCCO-US</v>
      </c>
      <c r="C1048" s="12"/>
      <c r="D1048" s="13">
        <f>IFERROR(__xludf.DUMMYFUNCTION("""COMPUTED_VALUE"""),45434.0)</f>
        <v>45434</v>
      </c>
      <c r="E1048" s="13">
        <f>IFERROR(__xludf.DUMMYFUNCTION("""COMPUTED_VALUE"""),45800.0)</f>
        <v>45800</v>
      </c>
      <c r="F1048" s="13">
        <f>IFERROR(__xludf.DUMMYFUNCTION("""COMPUTED_VALUE"""),45800.0)</f>
        <v>45800</v>
      </c>
      <c r="G1048" s="16" t="s">
        <v>5150</v>
      </c>
      <c r="H1048" s="16" t="s">
        <v>5150</v>
      </c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>
      <c r="A1049" s="11" t="str">
        <f>IFERROR(__xludf.DUMMYFUNCTION("""COMPUTED_VALUE"""),"Xp Inc  Cl A")</f>
        <v>Xp Inc  Cl A</v>
      </c>
      <c r="B1049" s="12" t="str">
        <f>IFERROR(__xludf.DUMMYFUNCTION("""COMPUTED_VALUE"""),"XP-US")</f>
        <v>XP-US</v>
      </c>
      <c r="C1049" s="12"/>
      <c r="D1049" s="13">
        <f>IFERROR(__xludf.DUMMYFUNCTION("""COMPUTED_VALUE"""),45434.0)</f>
        <v>45434</v>
      </c>
      <c r="E1049" s="13">
        <f>IFERROR(__xludf.DUMMYFUNCTION("""COMPUTED_VALUE"""),45807.0)</f>
        <v>45807</v>
      </c>
      <c r="F1049" s="13">
        <f>IFERROR(__xludf.DUMMYFUNCTION("""COMPUTED_VALUE"""),45807.0)</f>
        <v>45807</v>
      </c>
      <c r="G1049" s="16" t="s">
        <v>5152</v>
      </c>
      <c r="H1049" s="16" t="s">
        <v>5152</v>
      </c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>
      <c r="A1050" s="11" t="str">
        <f>IFERROR(__xludf.DUMMYFUNCTION("""COMPUTED_VALUE"""),"Arcellx Inc  Com")</f>
        <v>Arcellx Inc  Com</v>
      </c>
      <c r="B1050" s="12" t="str">
        <f>IFERROR(__xludf.DUMMYFUNCTION("""COMPUTED_VALUE"""),"ACLX-US")</f>
        <v>ACLX-US</v>
      </c>
      <c r="C1050" s="12"/>
      <c r="D1050" s="13">
        <f>IFERROR(__xludf.DUMMYFUNCTION("""COMPUTED_VALUE"""),45434.0)</f>
        <v>45434</v>
      </c>
      <c r="E1050" s="13">
        <f>IFERROR(__xludf.DUMMYFUNCTION("""COMPUTED_VALUE"""),45805.0)</f>
        <v>45805</v>
      </c>
      <c r="F1050" s="13">
        <f>IFERROR(__xludf.DUMMYFUNCTION("""COMPUTED_VALUE"""),45805.0)</f>
        <v>45805</v>
      </c>
      <c r="G1050" s="16" t="s">
        <v>5150</v>
      </c>
      <c r="H1050" s="16" t="s">
        <v>5150</v>
      </c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>
      <c r="A1051" s="11" t="str">
        <f>IFERROR(__xludf.DUMMYFUNCTION("""COMPUTED_VALUE"""),"Nuscale Power Corp  Cl A")</f>
        <v>Nuscale Power Corp  Cl A</v>
      </c>
      <c r="B1051" s="12" t="str">
        <f>IFERROR(__xludf.DUMMYFUNCTION("""COMPUTED_VALUE"""),"SMR-US")</f>
        <v>SMR-US</v>
      </c>
      <c r="C1051" s="12"/>
      <c r="D1051" s="13">
        <f>IFERROR(__xludf.DUMMYFUNCTION("""COMPUTED_VALUE"""),45434.0)</f>
        <v>45434</v>
      </c>
      <c r="E1051" s="13">
        <f>IFERROR(__xludf.DUMMYFUNCTION("""COMPUTED_VALUE"""),45800.0)</f>
        <v>45800</v>
      </c>
      <c r="F1051" s="13">
        <f>IFERROR(__xludf.DUMMYFUNCTION("""COMPUTED_VALUE"""),45800.0)</f>
        <v>45800</v>
      </c>
      <c r="G1051" s="16" t="s">
        <v>5150</v>
      </c>
      <c r="H1051" s="16" t="s">
        <v>5150</v>
      </c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>
      <c r="A1052" s="11" t="str">
        <f>IFERROR(__xludf.DUMMYFUNCTION("""COMPUTED_VALUE"""),"Pebblebrook Hotel Trust  Com")</f>
        <v>Pebblebrook Hotel Trust  Com</v>
      </c>
      <c r="B1052" s="12" t="str">
        <f>IFERROR(__xludf.DUMMYFUNCTION("""COMPUTED_VALUE"""),"PEB-US")</f>
        <v>PEB-US</v>
      </c>
      <c r="C1052" s="12"/>
      <c r="D1052" s="13">
        <f>IFERROR(__xludf.DUMMYFUNCTION("""COMPUTED_VALUE"""),45434.0)</f>
        <v>45434</v>
      </c>
      <c r="E1052" s="13">
        <f>IFERROR(__xludf.DUMMYFUNCTION("""COMPUTED_VALUE"""),45800.0)</f>
        <v>45800</v>
      </c>
      <c r="F1052" s="13">
        <f>IFERROR(__xludf.DUMMYFUNCTION("""COMPUTED_VALUE"""),45800.0)</f>
        <v>45800</v>
      </c>
      <c r="G1052" s="16" t="s">
        <v>5150</v>
      </c>
      <c r="H1052" s="16" t="s">
        <v>5150</v>
      </c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>
      <c r="A1053" s="11" t="str">
        <f>IFERROR(__xludf.DUMMYFUNCTION("""COMPUTED_VALUE"""),"Pagseguro Digital Ltd  Cl A")</f>
        <v>Pagseguro Digital Ltd  Cl A</v>
      </c>
      <c r="B1053" s="12" t="str">
        <f>IFERROR(__xludf.DUMMYFUNCTION("""COMPUTED_VALUE"""),"PAGS-US")</f>
        <v>PAGS-US</v>
      </c>
      <c r="C1053" s="12"/>
      <c r="D1053" s="13">
        <f>IFERROR(__xludf.DUMMYFUNCTION("""COMPUTED_VALUE"""),45434.0)</f>
        <v>45434</v>
      </c>
      <c r="E1053" s="13">
        <f>IFERROR(__xludf.DUMMYFUNCTION("""COMPUTED_VALUE"""),45804.0)</f>
        <v>45804</v>
      </c>
      <c r="F1053" s="13">
        <f>IFERROR(__xludf.DUMMYFUNCTION("""COMPUTED_VALUE"""),45804.0)</f>
        <v>45804</v>
      </c>
      <c r="G1053" s="16" t="s">
        <v>5152</v>
      </c>
      <c r="H1053" s="16" t="s">
        <v>5152</v>
      </c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>
      <c r="A1054" s="11" t="str">
        <f>IFERROR(__xludf.DUMMYFUNCTION("""COMPUTED_VALUE"""),"Granite Ridge Resources Inc  Com")</f>
        <v>Granite Ridge Resources Inc  Com</v>
      </c>
      <c r="B1054" s="12" t="str">
        <f>IFERROR(__xludf.DUMMYFUNCTION("""COMPUTED_VALUE"""),"GRNT-US")</f>
        <v>GRNT-US</v>
      </c>
      <c r="C1054" s="12"/>
      <c r="D1054" s="13">
        <f>IFERROR(__xludf.DUMMYFUNCTION("""COMPUTED_VALUE"""),45434.0)</f>
        <v>45434</v>
      </c>
      <c r="E1054" s="13">
        <f>IFERROR(__xludf.DUMMYFUNCTION("""COMPUTED_VALUE"""),45800.0)</f>
        <v>45800</v>
      </c>
      <c r="F1054" s="13">
        <f>IFERROR(__xludf.DUMMYFUNCTION("""COMPUTED_VALUE"""),45800.0)</f>
        <v>45800</v>
      </c>
      <c r="G1054" s="16" t="s">
        <v>5150</v>
      </c>
      <c r="H1054" s="16" t="s">
        <v>5150</v>
      </c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>
      <c r="A1055" s="11" t="str">
        <f>IFERROR(__xludf.DUMMYFUNCTION("""COMPUTED_VALUE"""),"Xperi Inc  Com")</f>
        <v>Xperi Inc  Com</v>
      </c>
      <c r="B1055" s="12" t="str">
        <f>IFERROR(__xludf.DUMMYFUNCTION("""COMPUTED_VALUE"""),"XPER-US")</f>
        <v>XPER-US</v>
      </c>
      <c r="C1055" s="12"/>
      <c r="D1055" s="13">
        <f>IFERROR(__xludf.DUMMYFUNCTION("""COMPUTED_VALUE"""),45434.0)</f>
        <v>45434</v>
      </c>
      <c r="E1055" s="13">
        <f>IFERROR(__xludf.DUMMYFUNCTION("""COMPUTED_VALUE"""),45772.0)</f>
        <v>45772</v>
      </c>
      <c r="F1055" s="13">
        <f>IFERROR(__xludf.DUMMYFUNCTION("""COMPUTED_VALUE"""),45772.0)</f>
        <v>45772</v>
      </c>
      <c r="G1055" s="16" t="s">
        <v>5150</v>
      </c>
      <c r="H1055" s="16" t="s">
        <v>5150</v>
      </c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>
      <c r="A1056" s="11" t="str">
        <f>IFERROR(__xludf.DUMMYFUNCTION("""COMPUTED_VALUE"""),"Energy Vault Holdings Inc  Com")</f>
        <v>Energy Vault Holdings Inc  Com</v>
      </c>
      <c r="B1056" s="12" t="str">
        <f>IFERROR(__xludf.DUMMYFUNCTION("""COMPUTED_VALUE"""),"NRGV-US")</f>
        <v>NRGV-US</v>
      </c>
      <c r="C1056" s="12"/>
      <c r="D1056" s="13">
        <f>IFERROR(__xludf.DUMMYFUNCTION("""COMPUTED_VALUE"""),45434.0)</f>
        <v>45434</v>
      </c>
      <c r="E1056" s="13">
        <f>IFERROR(__xludf.DUMMYFUNCTION("""COMPUTED_VALUE"""),45807.0)</f>
        <v>45807</v>
      </c>
      <c r="F1056" s="13">
        <f>IFERROR(__xludf.DUMMYFUNCTION("""COMPUTED_VALUE"""),45807.0)</f>
        <v>45807</v>
      </c>
      <c r="G1056" s="16" t="s">
        <v>5150</v>
      </c>
      <c r="H1056" s="16" t="s">
        <v>5150</v>
      </c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>
      <c r="A1057" s="11" t="str">
        <f>IFERROR(__xludf.DUMMYFUNCTION("""COMPUTED_VALUE"""),"Orthopediatrics Corp  Com")</f>
        <v>Orthopediatrics Corp  Com</v>
      </c>
      <c r="B1057" s="12" t="str">
        <f>IFERROR(__xludf.DUMMYFUNCTION("""COMPUTED_VALUE"""),"KIDS-US")</f>
        <v>KIDS-US</v>
      </c>
      <c r="C1057" s="12"/>
      <c r="D1057" s="13">
        <f>IFERROR(__xludf.DUMMYFUNCTION("""COMPUTED_VALUE"""),45434.0)</f>
        <v>45434</v>
      </c>
      <c r="E1057" s="13">
        <f>IFERROR(__xludf.DUMMYFUNCTION("""COMPUTED_VALUE"""),45800.0)</f>
        <v>45800</v>
      </c>
      <c r="F1057" s="13">
        <f>IFERROR(__xludf.DUMMYFUNCTION("""COMPUTED_VALUE"""),45800.0)</f>
        <v>45800</v>
      </c>
      <c r="G1057" s="16" t="s">
        <v>5150</v>
      </c>
      <c r="H1057" s="16" t="s">
        <v>5150</v>
      </c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>
      <c r="A1058" s="11" t="str">
        <f>IFERROR(__xludf.DUMMYFUNCTION("""COMPUTED_VALUE"""),"Servicenow Inc  Com")</f>
        <v>Servicenow Inc  Com</v>
      </c>
      <c r="B1058" s="12" t="str">
        <f>IFERROR(__xludf.DUMMYFUNCTION("""COMPUTED_VALUE"""),"NOW-US")</f>
        <v>NOW-US</v>
      </c>
      <c r="C1058" s="12"/>
      <c r="D1058" s="13">
        <f>IFERROR(__xludf.DUMMYFUNCTION("""COMPUTED_VALUE"""),45434.0)</f>
        <v>45434</v>
      </c>
      <c r="E1058" s="13">
        <f>IFERROR(__xludf.DUMMYFUNCTION("""COMPUTED_VALUE"""),45799.0)</f>
        <v>45799</v>
      </c>
      <c r="F1058" s="13">
        <f>IFERROR(__xludf.DUMMYFUNCTION("""COMPUTED_VALUE"""),45799.0)</f>
        <v>45799</v>
      </c>
      <c r="G1058" s="16" t="s">
        <v>5150</v>
      </c>
      <c r="H1058" s="16" t="s">
        <v>5150</v>
      </c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>
      <c r="A1059" s="11" t="str">
        <f>IFERROR(__xludf.DUMMYFUNCTION("""COMPUTED_VALUE"""),"Morgan Stanley  Com")</f>
        <v>Morgan Stanley  Com</v>
      </c>
      <c r="B1059" s="12" t="str">
        <f>IFERROR(__xludf.DUMMYFUNCTION("""COMPUTED_VALUE"""),"MS-US")</f>
        <v>MS-US</v>
      </c>
      <c r="C1059" s="12"/>
      <c r="D1059" s="13">
        <f>IFERROR(__xludf.DUMMYFUNCTION("""COMPUTED_VALUE"""),45434.0)</f>
        <v>45434</v>
      </c>
      <c r="E1059" s="13">
        <f>IFERROR(__xludf.DUMMYFUNCTION("""COMPUTED_VALUE"""),45792.0)</f>
        <v>45792</v>
      </c>
      <c r="F1059" s="13">
        <f>IFERROR(__xludf.DUMMYFUNCTION("""COMPUTED_VALUE"""),45792.0)</f>
        <v>45792</v>
      </c>
      <c r="G1059" s="16" t="s">
        <v>5150</v>
      </c>
      <c r="H1059" s="16" t="s">
        <v>5150</v>
      </c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>
      <c r="A1060" s="11" t="str">
        <f>IFERROR(__xludf.DUMMYFUNCTION("""COMPUTED_VALUE"""),"Nextera Energy Inc  Com")</f>
        <v>Nextera Energy Inc  Com</v>
      </c>
      <c r="B1060" s="12" t="str">
        <f>IFERROR(__xludf.DUMMYFUNCTION("""COMPUTED_VALUE"""),"NEE-US")</f>
        <v>NEE-US</v>
      </c>
      <c r="C1060" s="12"/>
      <c r="D1060" s="13">
        <f>IFERROR(__xludf.DUMMYFUNCTION("""COMPUTED_VALUE"""),45434.0)</f>
        <v>45434</v>
      </c>
      <c r="E1060" s="13">
        <f>IFERROR(__xludf.DUMMYFUNCTION("""COMPUTED_VALUE"""),45799.0)</f>
        <v>45799</v>
      </c>
      <c r="F1060" s="13">
        <f>IFERROR(__xludf.DUMMYFUNCTION("""COMPUTED_VALUE"""),45799.0)</f>
        <v>45799</v>
      </c>
      <c r="G1060" s="16" t="s">
        <v>5150</v>
      </c>
      <c r="H1060" s="16" t="s">
        <v>5150</v>
      </c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>
      <c r="A1061" s="11" t="str">
        <f>IFERROR(__xludf.DUMMYFUNCTION("""COMPUTED_VALUE"""),"Charles Schwab Corp  Com")</f>
        <v>Charles Schwab Corp  Com</v>
      </c>
      <c r="B1061" s="12" t="str">
        <f>IFERROR(__xludf.DUMMYFUNCTION("""COMPUTED_VALUE"""),"SCHW-US")</f>
        <v>SCHW-US</v>
      </c>
      <c r="C1061" s="12"/>
      <c r="D1061" s="13">
        <f>IFERROR(__xludf.DUMMYFUNCTION("""COMPUTED_VALUE"""),45434.0)</f>
        <v>45434</v>
      </c>
      <c r="E1061" s="13">
        <f>IFERROR(__xludf.DUMMYFUNCTION("""COMPUTED_VALUE"""),45799.0)</f>
        <v>45799</v>
      </c>
      <c r="F1061" s="13">
        <f>IFERROR(__xludf.DUMMYFUNCTION("""COMPUTED_VALUE"""),45799.0)</f>
        <v>45799</v>
      </c>
      <c r="G1061" s="16" t="s">
        <v>5150</v>
      </c>
      <c r="H1061" s="16" t="s">
        <v>5150</v>
      </c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>
      <c r="A1062" s="11" t="str">
        <f>IFERROR(__xludf.DUMMYFUNCTION("""COMPUTED_VALUE"""),"Equinix Inc  Com")</f>
        <v>Equinix Inc  Com</v>
      </c>
      <c r="B1062" s="12" t="str">
        <f>IFERROR(__xludf.DUMMYFUNCTION("""COMPUTED_VALUE"""),"EQIX-US")</f>
        <v>EQIX-US</v>
      </c>
      <c r="C1062" s="12"/>
      <c r="D1062" s="13">
        <f>IFERROR(__xludf.DUMMYFUNCTION("""COMPUTED_VALUE"""),45434.0)</f>
        <v>45434</v>
      </c>
      <c r="E1062" s="13">
        <f>IFERROR(__xludf.DUMMYFUNCTION("""COMPUTED_VALUE"""),45798.0)</f>
        <v>45798</v>
      </c>
      <c r="F1062" s="13">
        <f>IFERROR(__xludf.DUMMYFUNCTION("""COMPUTED_VALUE"""),45798.0)</f>
        <v>45798</v>
      </c>
      <c r="G1062" s="16" t="s">
        <v>5150</v>
      </c>
      <c r="H1062" s="16" t="s">
        <v>5150</v>
      </c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>
      <c r="A1063" s="11" t="str">
        <f>IFERROR(__xludf.DUMMYFUNCTION("""COMPUTED_VALUE"""),"Welltower Inc  Com")</f>
        <v>Welltower Inc  Com</v>
      </c>
      <c r="B1063" s="12" t="str">
        <f>IFERROR(__xludf.DUMMYFUNCTION("""COMPUTED_VALUE"""),"WELL-US")</f>
        <v>WELL-US</v>
      </c>
      <c r="C1063" s="12"/>
      <c r="D1063" s="13">
        <f>IFERROR(__xludf.DUMMYFUNCTION("""COMPUTED_VALUE"""),45434.0)</f>
        <v>45434</v>
      </c>
      <c r="E1063" s="13">
        <f>IFERROR(__xludf.DUMMYFUNCTION("""COMPUTED_VALUE"""),45799.0)</f>
        <v>45799</v>
      </c>
      <c r="F1063" s="13">
        <f>IFERROR(__xludf.DUMMYFUNCTION("""COMPUTED_VALUE"""),45799.0)</f>
        <v>45799</v>
      </c>
      <c r="G1063" s="16" t="s">
        <v>5150</v>
      </c>
      <c r="H1063" s="16" t="s">
        <v>5150</v>
      </c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>
      <c r="A1064" s="11" t="str">
        <f>IFERROR(__xludf.DUMMYFUNCTION("""COMPUTED_VALUE"""),"Cheniere Energy Inc  Com")</f>
        <v>Cheniere Energy Inc  Com</v>
      </c>
      <c r="B1064" s="12" t="str">
        <f>IFERROR(__xludf.DUMMYFUNCTION("""COMPUTED_VALUE"""),"LNG-US")</f>
        <v>LNG-US</v>
      </c>
      <c r="C1064" s="12"/>
      <c r="D1064" s="13">
        <f>IFERROR(__xludf.DUMMYFUNCTION("""COMPUTED_VALUE"""),45434.0)</f>
        <v>45434</v>
      </c>
      <c r="E1064" s="13">
        <f>IFERROR(__xludf.DUMMYFUNCTION("""COMPUTED_VALUE"""),45792.0)</f>
        <v>45792</v>
      </c>
      <c r="F1064" s="13">
        <f>IFERROR(__xludf.DUMMYFUNCTION("""COMPUTED_VALUE"""),45792.0)</f>
        <v>45792</v>
      </c>
      <c r="G1064" s="16" t="s">
        <v>5150</v>
      </c>
      <c r="H1064" s="16" t="s">
        <v>5150</v>
      </c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>
      <c r="A1065" s="11" t="str">
        <f>IFERROR(__xludf.DUMMYFUNCTION("""COMPUTED_VALUE"""),"Republic Services Inc  Com")</f>
        <v>Republic Services Inc  Com</v>
      </c>
      <c r="B1065" s="12" t="str">
        <f>IFERROR(__xludf.DUMMYFUNCTION("""COMPUTED_VALUE"""),"RSG-US")</f>
        <v>RSG-US</v>
      </c>
      <c r="C1065" s="12"/>
      <c r="D1065" s="13">
        <f>IFERROR(__xludf.DUMMYFUNCTION("""COMPUTED_VALUE"""),45434.0)</f>
        <v>45434</v>
      </c>
      <c r="E1065" s="13">
        <f>IFERROR(__xludf.DUMMYFUNCTION("""COMPUTED_VALUE"""),45796.0)</f>
        <v>45796</v>
      </c>
      <c r="F1065" s="13">
        <f>IFERROR(__xludf.DUMMYFUNCTION("""COMPUTED_VALUE"""),45796.0)</f>
        <v>45796</v>
      </c>
      <c r="G1065" s="16" t="s">
        <v>5150</v>
      </c>
      <c r="H1065" s="16" t="s">
        <v>5150</v>
      </c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>
      <c r="A1066" s="11" t="str">
        <f>IFERROR(__xludf.DUMMYFUNCTION("""COMPUTED_VALUE"""),"Kenvue Inc  Com")</f>
        <v>Kenvue Inc  Com</v>
      </c>
      <c r="B1066" s="12" t="str">
        <f>IFERROR(__xludf.DUMMYFUNCTION("""COMPUTED_VALUE"""),"KVUE-US")</f>
        <v>KVUE-US</v>
      </c>
      <c r="C1066" s="12"/>
      <c r="D1066" s="13">
        <f>IFERROR(__xludf.DUMMYFUNCTION("""COMPUTED_VALUE"""),45434.0)</f>
        <v>45434</v>
      </c>
      <c r="E1066" s="13">
        <f>IFERROR(__xludf.DUMMYFUNCTION("""COMPUTED_VALUE"""),45799.0)</f>
        <v>45799</v>
      </c>
      <c r="F1066" s="13">
        <f>IFERROR(__xludf.DUMMYFUNCTION("""COMPUTED_VALUE"""),45799.0)</f>
        <v>45799</v>
      </c>
      <c r="G1066" s="16" t="s">
        <v>5150</v>
      </c>
      <c r="H1066" s="16" t="s">
        <v>5150</v>
      </c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>
      <c r="A1067" s="11" t="str">
        <f>IFERROR(__xludf.DUMMYFUNCTION("""COMPUTED_VALUE"""),"Extra Space Storage Inc  Com")</f>
        <v>Extra Space Storage Inc  Com</v>
      </c>
      <c r="B1067" s="12" t="str">
        <f>IFERROR(__xludf.DUMMYFUNCTION("""COMPUTED_VALUE"""),"EXR-US")</f>
        <v>EXR-US</v>
      </c>
      <c r="C1067" s="12"/>
      <c r="D1067" s="13">
        <f>IFERROR(__xludf.DUMMYFUNCTION("""COMPUTED_VALUE"""),45434.0)</f>
        <v>45434</v>
      </c>
      <c r="E1067" s="13">
        <f>IFERROR(__xludf.DUMMYFUNCTION("""COMPUTED_VALUE"""),45798.0)</f>
        <v>45798</v>
      </c>
      <c r="F1067" s="13">
        <f>IFERROR(__xludf.DUMMYFUNCTION("""COMPUTED_VALUE"""),45798.0)</f>
        <v>45798</v>
      </c>
      <c r="G1067" s="16" t="s">
        <v>5150</v>
      </c>
      <c r="H1067" s="16" t="s">
        <v>5150</v>
      </c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>
      <c r="A1068" s="11" t="str">
        <f>IFERROR(__xludf.DUMMYFUNCTION("""COMPUTED_VALUE"""),"Archer Daniels Midland Co  Com")</f>
        <v>Archer Daniels Midland Co  Com</v>
      </c>
      <c r="B1068" s="12" t="str">
        <f>IFERROR(__xludf.DUMMYFUNCTION("""COMPUTED_VALUE"""),"ADM-US")</f>
        <v>ADM-US</v>
      </c>
      <c r="C1068" s="12"/>
      <c r="D1068" s="13">
        <f>IFERROR(__xludf.DUMMYFUNCTION("""COMPUTED_VALUE"""),45434.0)</f>
        <v>45434</v>
      </c>
      <c r="E1068" s="13">
        <f>IFERROR(__xludf.DUMMYFUNCTION("""COMPUTED_VALUE"""),45785.0)</f>
        <v>45785</v>
      </c>
      <c r="F1068" s="13">
        <f>IFERROR(__xludf.DUMMYFUNCTION("""COMPUTED_VALUE"""),45785.0)</f>
        <v>45785</v>
      </c>
      <c r="G1068" s="16" t="s">
        <v>5150</v>
      </c>
      <c r="H1068" s="16" t="s">
        <v>5150</v>
      </c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>
      <c r="A1069" s="11" t="str">
        <f>IFERROR(__xludf.DUMMYFUNCTION("""COMPUTED_VALUE"""),"Waters Corp  Com")</f>
        <v>Waters Corp  Com</v>
      </c>
      <c r="B1069" s="12" t="str">
        <f>IFERROR(__xludf.DUMMYFUNCTION("""COMPUTED_VALUE"""),"WAT-US")</f>
        <v>WAT-US</v>
      </c>
      <c r="C1069" s="12"/>
      <c r="D1069" s="13">
        <f>IFERROR(__xludf.DUMMYFUNCTION("""COMPUTED_VALUE"""),45434.0)</f>
        <v>45434</v>
      </c>
      <c r="E1069" s="13">
        <f>IFERROR(__xludf.DUMMYFUNCTION("""COMPUTED_VALUE"""),45799.0)</f>
        <v>45799</v>
      </c>
      <c r="F1069" s="13">
        <f>IFERROR(__xludf.DUMMYFUNCTION("""COMPUTED_VALUE"""),45799.0)</f>
        <v>45799</v>
      </c>
      <c r="G1069" s="16" t="s">
        <v>5150</v>
      </c>
      <c r="H1069" s="16" t="s">
        <v>5150</v>
      </c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>
      <c r="A1070" s="11" t="str">
        <f>IFERROR(__xludf.DUMMYFUNCTION("""COMPUTED_VALUE"""),"Sba Communications Corp  Com")</f>
        <v>Sba Communications Corp  Com</v>
      </c>
      <c r="B1070" s="12" t="str">
        <f>IFERROR(__xludf.DUMMYFUNCTION("""COMPUTED_VALUE"""),"SBAC-US")</f>
        <v>SBAC-US</v>
      </c>
      <c r="C1070" s="12"/>
      <c r="D1070" s="13">
        <f>IFERROR(__xludf.DUMMYFUNCTION("""COMPUTED_VALUE"""),45434.0)</f>
        <v>45434</v>
      </c>
      <c r="E1070" s="13">
        <f>IFERROR(__xludf.DUMMYFUNCTION("""COMPUTED_VALUE"""),45800.0)</f>
        <v>45800</v>
      </c>
      <c r="F1070" s="13">
        <f>IFERROR(__xludf.DUMMYFUNCTION("""COMPUTED_VALUE"""),45800.0)</f>
        <v>45800</v>
      </c>
      <c r="G1070" s="16" t="s">
        <v>5150</v>
      </c>
      <c r="H1070" s="16" t="s">
        <v>5150</v>
      </c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>
      <c r="A1071" s="11" t="str">
        <f>IFERROR(__xludf.DUMMYFUNCTION("""COMPUTED_VALUE"""),"Pinterest Inc  Cl A")</f>
        <v>Pinterest Inc  Cl A</v>
      </c>
      <c r="B1071" s="12" t="str">
        <f>IFERROR(__xludf.DUMMYFUNCTION("""COMPUTED_VALUE"""),"PINS-US")</f>
        <v>PINS-US</v>
      </c>
      <c r="C1071" s="12"/>
      <c r="D1071" s="13">
        <f>IFERROR(__xludf.DUMMYFUNCTION("""COMPUTED_VALUE"""),45434.0)</f>
        <v>45434</v>
      </c>
      <c r="E1071" s="13">
        <f>IFERROR(__xludf.DUMMYFUNCTION("""COMPUTED_VALUE"""),45799.0)</f>
        <v>45799</v>
      </c>
      <c r="F1071" s="13">
        <f>IFERROR(__xludf.DUMMYFUNCTION("""COMPUTED_VALUE"""),45799.0)</f>
        <v>45799</v>
      </c>
      <c r="G1071" s="16" t="s">
        <v>5150</v>
      </c>
      <c r="H1071" s="16" t="s">
        <v>5150</v>
      </c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>
      <c r="A1072" s="11" t="str">
        <f>IFERROR(__xludf.DUMMYFUNCTION("""COMPUTED_VALUE"""),"Verisign Inc  Com")</f>
        <v>Verisign Inc  Com</v>
      </c>
      <c r="B1072" s="12" t="str">
        <f>IFERROR(__xludf.DUMMYFUNCTION("""COMPUTED_VALUE"""),"VRSN-US")</f>
        <v>VRSN-US</v>
      </c>
      <c r="C1072" s="12"/>
      <c r="D1072" s="13">
        <f>IFERROR(__xludf.DUMMYFUNCTION("""COMPUTED_VALUE"""),45434.0)</f>
        <v>45434</v>
      </c>
      <c r="E1072" s="13">
        <f>IFERROR(__xludf.DUMMYFUNCTION("""COMPUTED_VALUE"""),45799.0)</f>
        <v>45799</v>
      </c>
      <c r="F1072" s="13">
        <f>IFERROR(__xludf.DUMMYFUNCTION("""COMPUTED_VALUE"""),45799.0)</f>
        <v>45799</v>
      </c>
      <c r="G1072" s="16" t="s">
        <v>5150</v>
      </c>
      <c r="H1072" s="16" t="s">
        <v>5150</v>
      </c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>
      <c r="A1073" s="11" t="str">
        <f>IFERROR(__xludf.DUMMYFUNCTION("""COMPUTED_VALUE"""),"Udr Inc  Com")</f>
        <v>Udr Inc  Com</v>
      </c>
      <c r="B1073" s="12" t="str">
        <f>IFERROR(__xludf.DUMMYFUNCTION("""COMPUTED_VALUE"""),"UDR-US")</f>
        <v>UDR-US</v>
      </c>
      <c r="C1073" s="12"/>
      <c r="D1073" s="13">
        <f>IFERROR(__xludf.DUMMYFUNCTION("""COMPUTED_VALUE"""),45434.0)</f>
        <v>45434</v>
      </c>
      <c r="E1073" s="13">
        <f>IFERROR(__xludf.DUMMYFUNCTION("""COMPUTED_VALUE"""),45792.0)</f>
        <v>45792</v>
      </c>
      <c r="F1073" s="13">
        <f>IFERROR(__xludf.DUMMYFUNCTION("""COMPUTED_VALUE"""),45792.0)</f>
        <v>45792</v>
      </c>
      <c r="G1073" s="16" t="s">
        <v>5150</v>
      </c>
      <c r="H1073" s="16" t="s">
        <v>5150</v>
      </c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>
      <c r="A1074" s="11" t="str">
        <f>IFERROR(__xludf.DUMMYFUNCTION("""COMPUTED_VALUE"""),"Unum Group Com")</f>
        <v>Unum Group Com</v>
      </c>
      <c r="B1074" s="12" t="str">
        <f>IFERROR(__xludf.DUMMYFUNCTION("""COMPUTED_VALUE"""),"UNM-US")</f>
        <v>UNM-US</v>
      </c>
      <c r="C1074" s="12"/>
      <c r="D1074" s="13">
        <f>IFERROR(__xludf.DUMMYFUNCTION("""COMPUTED_VALUE"""),45434.0)</f>
        <v>45434</v>
      </c>
      <c r="E1074" s="13">
        <f>IFERROR(__xludf.DUMMYFUNCTION("""COMPUTED_VALUE"""),45799.0)</f>
        <v>45799</v>
      </c>
      <c r="F1074" s="13">
        <f>IFERROR(__xludf.DUMMYFUNCTION("""COMPUTED_VALUE"""),45799.0)</f>
        <v>45799</v>
      </c>
      <c r="G1074" s="16" t="s">
        <v>5150</v>
      </c>
      <c r="H1074" s="16" t="s">
        <v>5150</v>
      </c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>
      <c r="A1075" s="11" t="str">
        <f>IFERROR(__xludf.DUMMYFUNCTION("""COMPUTED_VALUE"""),"Assurant Inc  Com")</f>
        <v>Assurant Inc  Com</v>
      </c>
      <c r="B1075" s="12" t="str">
        <f>IFERROR(__xludf.DUMMYFUNCTION("""COMPUTED_VALUE"""),"AIZ-US")</f>
        <v>AIZ-US</v>
      </c>
      <c r="C1075" s="12"/>
      <c r="D1075" s="13">
        <f>IFERROR(__xludf.DUMMYFUNCTION("""COMPUTED_VALUE"""),45434.0)</f>
        <v>45434</v>
      </c>
      <c r="E1075" s="13">
        <f>IFERROR(__xludf.DUMMYFUNCTION("""COMPUTED_VALUE"""),45798.0)</f>
        <v>45798</v>
      </c>
      <c r="F1075" s="13">
        <f>IFERROR(__xludf.DUMMYFUNCTION("""COMPUTED_VALUE"""),45798.0)</f>
        <v>45798</v>
      </c>
      <c r="G1075" s="16" t="s">
        <v>5150</v>
      </c>
      <c r="H1075" s="16" t="s">
        <v>5150</v>
      </c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>
      <c r="A1076" s="11" t="str">
        <f>IFERROR(__xludf.DUMMYFUNCTION("""COMPUTED_VALUE"""),"American Financial Group Inc  Com")</f>
        <v>American Financial Group Inc  Com</v>
      </c>
      <c r="B1076" s="12" t="str">
        <f>IFERROR(__xludf.DUMMYFUNCTION("""COMPUTED_VALUE"""),"AFG-US")</f>
        <v>AFG-US</v>
      </c>
      <c r="C1076" s="12"/>
      <c r="D1076" s="13">
        <f>IFERROR(__xludf.DUMMYFUNCTION("""COMPUTED_VALUE"""),45434.0)</f>
        <v>45434</v>
      </c>
      <c r="E1076" s="13">
        <f>IFERROR(__xludf.DUMMYFUNCTION("""COMPUTED_VALUE"""),45799.0)</f>
        <v>45799</v>
      </c>
      <c r="F1076" s="13">
        <f>IFERROR(__xludf.DUMMYFUNCTION("""COMPUTED_VALUE"""),45799.0)</f>
        <v>45799</v>
      </c>
      <c r="G1076" s="16" t="s">
        <v>5150</v>
      </c>
      <c r="H1076" s="16" t="s">
        <v>5150</v>
      </c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>
      <c r="A1077" s="11" t="str">
        <f>IFERROR(__xludf.DUMMYFUNCTION("""COMPUTED_VALUE"""),"Skechers Usa Inc  Cl A")</f>
        <v>Skechers Usa Inc  Cl A</v>
      </c>
      <c r="B1077" s="12" t="str">
        <f>IFERROR(__xludf.DUMMYFUNCTION("""COMPUTED_VALUE"""),"SKX-US")</f>
        <v>SKX-US</v>
      </c>
      <c r="C1077" s="12"/>
      <c r="D1077" s="13">
        <f>IFERROR(__xludf.DUMMYFUNCTION("""COMPUTED_VALUE"""),45434.0)</f>
        <v>45434</v>
      </c>
      <c r="E1077" s="13">
        <f>IFERROR(__xludf.DUMMYFUNCTION("""COMPUTED_VALUE"""),45797.0)</f>
        <v>45797</v>
      </c>
      <c r="F1077" s="13">
        <f>IFERROR(__xludf.DUMMYFUNCTION("""COMPUTED_VALUE"""),45797.0)</f>
        <v>45797</v>
      </c>
      <c r="G1077" s="16" t="s">
        <v>5150</v>
      </c>
      <c r="H1077" s="16" t="s">
        <v>5150</v>
      </c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>
      <c r="A1078" s="11" t="str">
        <f>IFERROR(__xludf.DUMMYFUNCTION("""COMPUTED_VALUE"""),"Kinsale Capital Group Inc  Com")</f>
        <v>Kinsale Capital Group Inc  Com</v>
      </c>
      <c r="B1078" s="12" t="str">
        <f>IFERROR(__xludf.DUMMYFUNCTION("""COMPUTED_VALUE"""),"KNSL-US")</f>
        <v>KNSL-US</v>
      </c>
      <c r="C1078" s="12"/>
      <c r="D1078" s="13">
        <f>IFERROR(__xludf.DUMMYFUNCTION("""COMPUTED_VALUE"""),45434.0)</f>
        <v>45434</v>
      </c>
      <c r="E1078" s="13">
        <f>IFERROR(__xludf.DUMMYFUNCTION("""COMPUTED_VALUE"""),45799.0)</f>
        <v>45799</v>
      </c>
      <c r="F1078" s="13">
        <f>IFERROR(__xludf.DUMMYFUNCTION("""COMPUTED_VALUE"""),45799.0)</f>
        <v>45799</v>
      </c>
      <c r="G1078" s="16" t="s">
        <v>5150</v>
      </c>
      <c r="H1078" s="16" t="s">
        <v>5150</v>
      </c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>
      <c r="A1079" s="11" t="str">
        <f>IFERROR(__xludf.DUMMYFUNCTION("""COMPUTED_VALUE"""),"Royal Gold Inc  Com")</f>
        <v>Royal Gold Inc  Com</v>
      </c>
      <c r="B1079" s="12" t="str">
        <f>IFERROR(__xludf.DUMMYFUNCTION("""COMPUTED_VALUE"""),"RGLD-US")</f>
        <v>RGLD-US</v>
      </c>
      <c r="C1079" s="12"/>
      <c r="D1079" s="13">
        <f>IFERROR(__xludf.DUMMYFUNCTION("""COMPUTED_VALUE"""),45434.0)</f>
        <v>45434</v>
      </c>
      <c r="E1079" s="13">
        <f>IFERROR(__xludf.DUMMYFUNCTION("""COMPUTED_VALUE"""),45799.0)</f>
        <v>45799</v>
      </c>
      <c r="F1079" s="13">
        <f>IFERROR(__xludf.DUMMYFUNCTION("""COMPUTED_VALUE"""),45799.0)</f>
        <v>45799</v>
      </c>
      <c r="G1079" s="16" t="s">
        <v>5150</v>
      </c>
      <c r="H1079" s="16" t="s">
        <v>5150</v>
      </c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>
      <c r="A1080" s="11" t="str">
        <f>IFERROR(__xludf.DUMMYFUNCTION("""COMPUTED_VALUE"""),"Apa Corp  Com")</f>
        <v>Apa Corp  Com</v>
      </c>
      <c r="B1080" s="12" t="str">
        <f>IFERROR(__xludf.DUMMYFUNCTION("""COMPUTED_VALUE"""),"APA-US")</f>
        <v>APA-US</v>
      </c>
      <c r="C1080" s="12"/>
      <c r="D1080" s="13">
        <f>IFERROR(__xludf.DUMMYFUNCTION("""COMPUTED_VALUE"""),45434.0)</f>
        <v>45434</v>
      </c>
      <c r="E1080" s="13">
        <f>IFERROR(__xludf.DUMMYFUNCTION("""COMPUTED_VALUE"""),45799.0)</f>
        <v>45799</v>
      </c>
      <c r="F1080" s="13">
        <f>IFERROR(__xludf.DUMMYFUNCTION("""COMPUTED_VALUE"""),45799.0)</f>
        <v>45799</v>
      </c>
      <c r="G1080" s="16" t="s">
        <v>5150</v>
      </c>
      <c r="H1080" s="16" t="s">
        <v>5150</v>
      </c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>
      <c r="A1081" s="11" t="str">
        <f>IFERROR(__xludf.DUMMYFUNCTION("""COMPUTED_VALUE"""),"Old Republic Intl Corp  Com")</f>
        <v>Old Republic Intl Corp  Com</v>
      </c>
      <c r="B1081" s="12" t="str">
        <f>IFERROR(__xludf.DUMMYFUNCTION("""COMPUTED_VALUE"""),"ORI-US")</f>
        <v>ORI-US</v>
      </c>
      <c r="C1081" s="12"/>
      <c r="D1081" s="13">
        <f>IFERROR(__xludf.DUMMYFUNCTION("""COMPUTED_VALUE"""),45434.0)</f>
        <v>45434</v>
      </c>
      <c r="E1081" s="13">
        <f>IFERROR(__xludf.DUMMYFUNCTION("""COMPUTED_VALUE"""),45799.0)</f>
        <v>45799</v>
      </c>
      <c r="F1081" s="13">
        <f>IFERROR(__xludf.DUMMYFUNCTION("""COMPUTED_VALUE"""),45799.0)</f>
        <v>45799</v>
      </c>
      <c r="G1081" s="16" t="s">
        <v>5150</v>
      </c>
      <c r="H1081" s="16" t="s">
        <v>5150</v>
      </c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>
      <c r="A1082" s="11" t="str">
        <f>IFERROR(__xludf.DUMMYFUNCTION("""COMPUTED_VALUE"""),"Wingstop Inc  Com")</f>
        <v>Wingstop Inc  Com</v>
      </c>
      <c r="B1082" s="12" t="str">
        <f>IFERROR(__xludf.DUMMYFUNCTION("""COMPUTED_VALUE"""),"WING-US")</f>
        <v>WING-US</v>
      </c>
      <c r="C1082" s="12"/>
      <c r="D1082" s="13">
        <f>IFERROR(__xludf.DUMMYFUNCTION("""COMPUTED_VALUE"""),45434.0)</f>
        <v>45434</v>
      </c>
      <c r="E1082" s="13">
        <f>IFERROR(__xludf.DUMMYFUNCTION("""COMPUTED_VALUE"""),45799.0)</f>
        <v>45799</v>
      </c>
      <c r="F1082" s="13">
        <f>IFERROR(__xludf.DUMMYFUNCTION("""COMPUTED_VALUE"""),45799.0)</f>
        <v>45799</v>
      </c>
      <c r="G1082" s="16" t="s">
        <v>5150</v>
      </c>
      <c r="H1082" s="16" t="s">
        <v>5150</v>
      </c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>
      <c r="A1083" s="11" t="str">
        <f>IFERROR(__xludf.DUMMYFUNCTION("""COMPUTED_VALUE"""),"Wintrust Financial Corp  Com")</f>
        <v>Wintrust Financial Corp  Com</v>
      </c>
      <c r="B1083" s="12" t="str">
        <f>IFERROR(__xludf.DUMMYFUNCTION("""COMPUTED_VALUE"""),"WTFC-US")</f>
        <v>WTFC-US</v>
      </c>
      <c r="C1083" s="12"/>
      <c r="D1083" s="13">
        <f>IFERROR(__xludf.DUMMYFUNCTION("""COMPUTED_VALUE"""),45434.0)</f>
        <v>45434</v>
      </c>
      <c r="E1083" s="13">
        <f>IFERROR(__xludf.DUMMYFUNCTION("""COMPUTED_VALUE"""),45799.0)</f>
        <v>45799</v>
      </c>
      <c r="F1083" s="13">
        <f>IFERROR(__xludf.DUMMYFUNCTION("""COMPUTED_VALUE"""),45799.0)</f>
        <v>45799</v>
      </c>
      <c r="G1083" s="16" t="s">
        <v>5150</v>
      </c>
      <c r="H1083" s="16" t="s">
        <v>5150</v>
      </c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>
      <c r="A1084" s="11" t="str">
        <f>IFERROR(__xludf.DUMMYFUNCTION("""COMPUTED_VALUE"""),"Wesco International Inc  Com")</f>
        <v>Wesco International Inc  Com</v>
      </c>
      <c r="B1084" s="12" t="str">
        <f>IFERROR(__xludf.DUMMYFUNCTION("""COMPUTED_VALUE"""),"WCC-US")</f>
        <v>WCC-US</v>
      </c>
      <c r="C1084" s="12"/>
      <c r="D1084" s="13">
        <f>IFERROR(__xludf.DUMMYFUNCTION("""COMPUTED_VALUE"""),45434.0)</f>
        <v>45434</v>
      </c>
      <c r="E1084" s="13">
        <f>IFERROR(__xludf.DUMMYFUNCTION("""COMPUTED_VALUE"""),45799.0)</f>
        <v>45799</v>
      </c>
      <c r="F1084" s="13">
        <f>IFERROR(__xludf.DUMMYFUNCTION("""COMPUTED_VALUE"""),45799.0)</f>
        <v>45799</v>
      </c>
      <c r="G1084" s="16" t="s">
        <v>5150</v>
      </c>
      <c r="H1084" s="16" t="s">
        <v>5150</v>
      </c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>
      <c r="A1085" s="11" t="str">
        <f>IFERROR(__xludf.DUMMYFUNCTION("""COMPUTED_VALUE"""),"Eastgroup Properties Inc  Com")</f>
        <v>Eastgroup Properties Inc  Com</v>
      </c>
      <c r="B1085" s="12" t="str">
        <f>IFERROR(__xludf.DUMMYFUNCTION("""COMPUTED_VALUE"""),"EGP-US")</f>
        <v>EGP-US</v>
      </c>
      <c r="C1085" s="12"/>
      <c r="D1085" s="13">
        <f>IFERROR(__xludf.DUMMYFUNCTION("""COMPUTED_VALUE"""),45434.0)</f>
        <v>45434</v>
      </c>
      <c r="E1085" s="13">
        <f>IFERROR(__xludf.DUMMYFUNCTION("""COMPUTED_VALUE"""),45799.0)</f>
        <v>45799</v>
      </c>
      <c r="F1085" s="13">
        <f>IFERROR(__xludf.DUMMYFUNCTION("""COMPUTED_VALUE"""),45799.0)</f>
        <v>45799</v>
      </c>
      <c r="G1085" s="16" t="s">
        <v>5150</v>
      </c>
      <c r="H1085" s="16" t="s">
        <v>5150</v>
      </c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>
      <c r="A1086" s="11" t="str">
        <f>IFERROR(__xludf.DUMMYFUNCTION("""COMPUTED_VALUE"""),"Graphic Packaging Holding  Com")</f>
        <v>Graphic Packaging Holding  Com</v>
      </c>
      <c r="B1086" s="12" t="str">
        <f>IFERROR(__xludf.DUMMYFUNCTION("""COMPUTED_VALUE"""),"GPK-US")</f>
        <v>GPK-US</v>
      </c>
      <c r="C1086" s="12"/>
      <c r="D1086" s="13">
        <f>IFERROR(__xludf.DUMMYFUNCTION("""COMPUTED_VALUE"""),45434.0)</f>
        <v>45434</v>
      </c>
      <c r="E1086" s="13">
        <f>IFERROR(__xludf.DUMMYFUNCTION("""COMPUTED_VALUE"""),45798.0)</f>
        <v>45798</v>
      </c>
      <c r="F1086" s="13">
        <f>IFERROR(__xludf.DUMMYFUNCTION("""COMPUTED_VALUE"""),45798.0)</f>
        <v>45798</v>
      </c>
      <c r="G1086" s="16" t="s">
        <v>5150</v>
      </c>
      <c r="H1086" s="16" t="s">
        <v>5150</v>
      </c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>
      <c r="A1087" s="11" t="str">
        <f>IFERROR(__xludf.DUMMYFUNCTION("""COMPUTED_VALUE"""),"Agree Realty Corp  Com")</f>
        <v>Agree Realty Corp  Com</v>
      </c>
      <c r="B1087" s="12" t="str">
        <f>IFERROR(__xludf.DUMMYFUNCTION("""COMPUTED_VALUE"""),"ADC-US")</f>
        <v>ADC-US</v>
      </c>
      <c r="C1087" s="12"/>
      <c r="D1087" s="13">
        <f>IFERROR(__xludf.DUMMYFUNCTION("""COMPUTED_VALUE"""),45434.0)</f>
        <v>45434</v>
      </c>
      <c r="E1087" s="13">
        <f>IFERROR(__xludf.DUMMYFUNCTION("""COMPUTED_VALUE"""),45792.0)</f>
        <v>45792</v>
      </c>
      <c r="F1087" s="13">
        <f>IFERROR(__xludf.DUMMYFUNCTION("""COMPUTED_VALUE"""),45792.0)</f>
        <v>45792</v>
      </c>
      <c r="G1087" s="16" t="s">
        <v>5150</v>
      </c>
      <c r="H1087" s="16" t="s">
        <v>5150</v>
      </c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>
      <c r="A1088" s="11" t="str">
        <f>IFERROR(__xludf.DUMMYFUNCTION("""COMPUTED_VALUE"""),"Vornado Realty Trust  Sbi")</f>
        <v>Vornado Realty Trust  Sbi</v>
      </c>
      <c r="B1088" s="12" t="str">
        <f>IFERROR(__xludf.DUMMYFUNCTION("""COMPUTED_VALUE"""),"VNO-US")</f>
        <v>VNO-US</v>
      </c>
      <c r="C1088" s="12"/>
      <c r="D1088" s="13">
        <f>IFERROR(__xludf.DUMMYFUNCTION("""COMPUTED_VALUE"""),45434.0)</f>
        <v>45434</v>
      </c>
      <c r="E1088" s="13">
        <f>IFERROR(__xludf.DUMMYFUNCTION("""COMPUTED_VALUE"""),45799.0)</f>
        <v>45799</v>
      </c>
      <c r="F1088" s="13">
        <f>IFERROR(__xludf.DUMMYFUNCTION("""COMPUTED_VALUE"""),45799.0)</f>
        <v>45799</v>
      </c>
      <c r="G1088" s="16" t="s">
        <v>5150</v>
      </c>
      <c r="H1088" s="16" t="s">
        <v>5150</v>
      </c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>
      <c r="A1089" s="11" t="str">
        <f>IFERROR(__xludf.DUMMYFUNCTION("""COMPUTED_VALUE"""),"Voya Financial Inc  Com")</f>
        <v>Voya Financial Inc  Com</v>
      </c>
      <c r="B1089" s="12" t="str">
        <f>IFERROR(__xludf.DUMMYFUNCTION("""COMPUTED_VALUE"""),"VOYA-US")</f>
        <v>VOYA-US</v>
      </c>
      <c r="C1089" s="12"/>
      <c r="D1089" s="13">
        <f>IFERROR(__xludf.DUMMYFUNCTION("""COMPUTED_VALUE"""),45434.0)</f>
        <v>45434</v>
      </c>
      <c r="E1089" s="13">
        <f>IFERROR(__xludf.DUMMYFUNCTION("""COMPUTED_VALUE"""),45799.0)</f>
        <v>45799</v>
      </c>
      <c r="F1089" s="13">
        <f>IFERROR(__xludf.DUMMYFUNCTION("""COMPUTED_VALUE"""),45799.0)</f>
        <v>45799</v>
      </c>
      <c r="G1089" s="16" t="s">
        <v>5150</v>
      </c>
      <c r="H1089" s="16" t="s">
        <v>5150</v>
      </c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>
      <c r="A1090" s="11" t="str">
        <f>IFERROR(__xludf.DUMMYFUNCTION("""COMPUTED_VALUE"""),"Bentley Systems Inc  Cl B")</f>
        <v>Bentley Systems Inc  Cl B</v>
      </c>
      <c r="B1090" s="12" t="str">
        <f>IFERROR(__xludf.DUMMYFUNCTION("""COMPUTED_VALUE"""),"BSY-US")</f>
        <v>BSY-US</v>
      </c>
      <c r="C1090" s="12"/>
      <c r="D1090" s="13">
        <f>IFERROR(__xludf.DUMMYFUNCTION("""COMPUTED_VALUE"""),45434.0)</f>
        <v>45434</v>
      </c>
      <c r="E1090" s="13">
        <f>IFERROR(__xludf.DUMMYFUNCTION("""COMPUTED_VALUE"""),45799.0)</f>
        <v>45799</v>
      </c>
      <c r="F1090" s="13">
        <f>IFERROR(__xludf.DUMMYFUNCTION("""COMPUTED_VALUE"""),45799.0)</f>
        <v>45799</v>
      </c>
      <c r="G1090" s="16" t="s">
        <v>5150</v>
      </c>
      <c r="H1090" s="16" t="s">
        <v>5150</v>
      </c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>
      <c r="A1091" s="11" t="str">
        <f>IFERROR(__xludf.DUMMYFUNCTION("""COMPUTED_VALUE"""),"Invesco Ltd  Com")</f>
        <v>Invesco Ltd  Com</v>
      </c>
      <c r="B1091" s="12" t="str">
        <f>IFERROR(__xludf.DUMMYFUNCTION("""COMPUTED_VALUE"""),"IVZ-US")</f>
        <v>IVZ-US</v>
      </c>
      <c r="C1091" s="12"/>
      <c r="D1091" s="13">
        <f>IFERROR(__xludf.DUMMYFUNCTION("""COMPUTED_VALUE"""),45434.0)</f>
        <v>45434</v>
      </c>
      <c r="E1091" s="13">
        <f>IFERROR(__xludf.DUMMYFUNCTION("""COMPUTED_VALUE"""),45800.0)</f>
        <v>45800</v>
      </c>
      <c r="F1091" s="13">
        <f>IFERROR(__xludf.DUMMYFUNCTION("""COMPUTED_VALUE"""),45800.0)</f>
        <v>45800</v>
      </c>
      <c r="G1091" s="16" t="s">
        <v>5150</v>
      </c>
      <c r="H1091" s="16" t="s">
        <v>5150</v>
      </c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>
      <c r="A1092" s="11" t="str">
        <f>IFERROR(__xludf.DUMMYFUNCTION("""COMPUTED_VALUE"""),"Jackson Financial Inc /Mi/  Cl A")</f>
        <v>Jackson Financial Inc /Mi/  Cl A</v>
      </c>
      <c r="B1092" s="12" t="str">
        <f>IFERROR(__xludf.DUMMYFUNCTION("""COMPUTED_VALUE"""),"JXN-US")</f>
        <v>JXN-US</v>
      </c>
      <c r="C1092" s="12"/>
      <c r="D1092" s="13">
        <f>IFERROR(__xludf.DUMMYFUNCTION("""COMPUTED_VALUE"""),45434.0)</f>
        <v>45434</v>
      </c>
      <c r="E1092" s="13">
        <f>IFERROR(__xludf.DUMMYFUNCTION("""COMPUTED_VALUE"""),45799.0)</f>
        <v>45799</v>
      </c>
      <c r="F1092" s="13">
        <f>IFERROR(__xludf.DUMMYFUNCTION("""COMPUTED_VALUE"""),45799.0)</f>
        <v>45799</v>
      </c>
      <c r="G1092" s="16" t="s">
        <v>5150</v>
      </c>
      <c r="H1092" s="16" t="s">
        <v>5150</v>
      </c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>
      <c r="A1093" s="11" t="str">
        <f>IFERROR(__xludf.DUMMYFUNCTION("""COMPUTED_VALUE"""),"Mohawk Industries Inc  Com")</f>
        <v>Mohawk Industries Inc  Com</v>
      </c>
      <c r="B1093" s="12" t="str">
        <f>IFERROR(__xludf.DUMMYFUNCTION("""COMPUTED_VALUE"""),"MHK-US")</f>
        <v>MHK-US</v>
      </c>
      <c r="C1093" s="12"/>
      <c r="D1093" s="13">
        <f>IFERROR(__xludf.DUMMYFUNCTION("""COMPUTED_VALUE"""),45434.0)</f>
        <v>45434</v>
      </c>
      <c r="E1093" s="13">
        <f>IFERROR(__xludf.DUMMYFUNCTION("""COMPUTED_VALUE"""),45799.0)</f>
        <v>45799</v>
      </c>
      <c r="F1093" s="13">
        <f>IFERROR(__xludf.DUMMYFUNCTION("""COMPUTED_VALUE"""),45799.0)</f>
        <v>45799</v>
      </c>
      <c r="G1093" s="16" t="s">
        <v>5150</v>
      </c>
      <c r="H1093" s="16" t="s">
        <v>5150</v>
      </c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>
      <c r="A1094" s="11" t="str">
        <f>IFERROR(__xludf.DUMMYFUNCTION("""COMPUTED_VALUE"""),"Taylor Morrison Home Corp  Cl A")</f>
        <v>Taylor Morrison Home Corp  Cl A</v>
      </c>
      <c r="B1094" s="12" t="str">
        <f>IFERROR(__xludf.DUMMYFUNCTION("""COMPUTED_VALUE"""),"TMHC-US")</f>
        <v>TMHC-US</v>
      </c>
      <c r="C1094" s="12"/>
      <c r="D1094" s="13">
        <f>IFERROR(__xludf.DUMMYFUNCTION("""COMPUTED_VALUE"""),45434.0)</f>
        <v>45434</v>
      </c>
      <c r="E1094" s="13">
        <f>IFERROR(__xludf.DUMMYFUNCTION("""COMPUTED_VALUE"""),45799.0)</f>
        <v>45799</v>
      </c>
      <c r="F1094" s="13">
        <f>IFERROR(__xludf.DUMMYFUNCTION("""COMPUTED_VALUE"""),45799.0)</f>
        <v>45799</v>
      </c>
      <c r="G1094" s="16" t="s">
        <v>5150</v>
      </c>
      <c r="H1094" s="16" t="s">
        <v>5150</v>
      </c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>
      <c r="A1095" s="11" t="str">
        <f>IFERROR(__xludf.DUMMYFUNCTION("""COMPUTED_VALUE"""),"Aurora Innovation Inc  Cl A")</f>
        <v>Aurora Innovation Inc  Cl A</v>
      </c>
      <c r="B1095" s="12" t="str">
        <f>IFERROR(__xludf.DUMMYFUNCTION("""COMPUTED_VALUE"""),"AUR-US")</f>
        <v>AUR-US</v>
      </c>
      <c r="C1095" s="12"/>
      <c r="D1095" s="13">
        <f>IFERROR(__xludf.DUMMYFUNCTION("""COMPUTED_VALUE"""),45434.0)</f>
        <v>45434</v>
      </c>
      <c r="E1095" s="13">
        <f>IFERROR(__xludf.DUMMYFUNCTION("""COMPUTED_VALUE"""),45799.0)</f>
        <v>45799</v>
      </c>
      <c r="F1095" s="13">
        <f>IFERROR(__xludf.DUMMYFUNCTION("""COMPUTED_VALUE"""),45799.0)</f>
        <v>45799</v>
      </c>
      <c r="G1095" s="16" t="s">
        <v>5150</v>
      </c>
      <c r="H1095" s="16" t="s">
        <v>5150</v>
      </c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>
      <c r="A1096" s="11" t="str">
        <f>IFERROR(__xludf.DUMMYFUNCTION("""COMPUTED_VALUE"""),"Mr Cooper Group Inc  Com")</f>
        <v>Mr Cooper Group Inc  Com</v>
      </c>
      <c r="B1096" s="12" t="str">
        <f>IFERROR(__xludf.DUMMYFUNCTION("""COMPUTED_VALUE"""),"COOP-US")</f>
        <v>COOP-US</v>
      </c>
      <c r="C1096" s="12"/>
      <c r="D1096" s="13">
        <f>IFERROR(__xludf.DUMMYFUNCTION("""COMPUTED_VALUE"""),45434.0)</f>
        <v>45434</v>
      </c>
      <c r="E1096" s="13">
        <f>IFERROR(__xludf.DUMMYFUNCTION("""COMPUTED_VALUE"""),45799.0)</f>
        <v>45799</v>
      </c>
      <c r="F1096" s="13">
        <f>IFERROR(__xludf.DUMMYFUNCTION("""COMPUTED_VALUE"""),45799.0)</f>
        <v>45799</v>
      </c>
      <c r="G1096" s="12"/>
      <c r="H1096" s="12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>
      <c r="A1097" s="11" t="str">
        <f>IFERROR(__xludf.DUMMYFUNCTION("""COMPUTED_VALUE"""),"Rithm Capital Corp  Com")</f>
        <v>Rithm Capital Corp  Com</v>
      </c>
      <c r="B1097" s="12" t="str">
        <f>IFERROR(__xludf.DUMMYFUNCTION("""COMPUTED_VALUE"""),"RITM-US")</f>
        <v>RITM-US</v>
      </c>
      <c r="C1097" s="12"/>
      <c r="D1097" s="13">
        <f>IFERROR(__xludf.DUMMYFUNCTION("""COMPUTED_VALUE"""),45434.0)</f>
        <v>45434</v>
      </c>
      <c r="E1097" s="13">
        <f>IFERROR(__xludf.DUMMYFUNCTION("""COMPUTED_VALUE"""),45799.0)</f>
        <v>45799</v>
      </c>
      <c r="F1097" s="13">
        <f>IFERROR(__xludf.DUMMYFUNCTION("""COMPUTED_VALUE"""),45799.0)</f>
        <v>45799</v>
      </c>
      <c r="G1097" s="16" t="s">
        <v>5150</v>
      </c>
      <c r="H1097" s="16" t="s">
        <v>5150</v>
      </c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>
      <c r="A1098" s="11" t="str">
        <f>IFERROR(__xludf.DUMMYFUNCTION("""COMPUTED_VALUE"""),"Lincoln National Corp  Com")</f>
        <v>Lincoln National Corp  Com</v>
      </c>
      <c r="B1098" s="12" t="str">
        <f>IFERROR(__xludf.DUMMYFUNCTION("""COMPUTED_VALUE"""),"LNC-US")</f>
        <v>LNC-US</v>
      </c>
      <c r="C1098" s="12"/>
      <c r="D1098" s="13">
        <f>IFERROR(__xludf.DUMMYFUNCTION("""COMPUTED_VALUE"""),45434.0)</f>
        <v>45434</v>
      </c>
      <c r="E1098" s="13">
        <f>IFERROR(__xludf.DUMMYFUNCTION("""COMPUTED_VALUE"""),45799.0)</f>
        <v>45799</v>
      </c>
      <c r="F1098" s="13">
        <f>IFERROR(__xludf.DUMMYFUNCTION("""COMPUTED_VALUE"""),45799.0)</f>
        <v>45799</v>
      </c>
      <c r="G1098" s="16" t="s">
        <v>5150</v>
      </c>
      <c r="H1098" s="16" t="s">
        <v>5150</v>
      </c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>
      <c r="A1099" s="11" t="str">
        <f>IFERROR(__xludf.DUMMYFUNCTION("""COMPUTED_VALUE"""),"Ccc Intelligent Solutions Hldgs  Com")</f>
        <v>Ccc Intelligent Solutions Hldgs  Com</v>
      </c>
      <c r="B1099" s="12" t="str">
        <f>IFERROR(__xludf.DUMMYFUNCTION("""COMPUTED_VALUE"""),"CCCS-US")</f>
        <v>CCCS-US</v>
      </c>
      <c r="C1099" s="12"/>
      <c r="D1099" s="13">
        <f>IFERROR(__xludf.DUMMYFUNCTION("""COMPUTED_VALUE"""),45434.0)</f>
        <v>45434</v>
      </c>
      <c r="E1099" s="13">
        <f>IFERROR(__xludf.DUMMYFUNCTION("""COMPUTED_VALUE"""),45799.0)</f>
        <v>45799</v>
      </c>
      <c r="F1099" s="13">
        <f>IFERROR(__xludf.DUMMYFUNCTION("""COMPUTED_VALUE"""),45799.0)</f>
        <v>45799</v>
      </c>
      <c r="G1099" s="16" t="s">
        <v>5150</v>
      </c>
      <c r="H1099" s="16" t="s">
        <v>5150</v>
      </c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>
      <c r="A1100" s="11" t="str">
        <f>IFERROR(__xludf.DUMMYFUNCTION("""COMPUTED_VALUE"""),"Piper Sandler Cos  Com")</f>
        <v>Piper Sandler Cos  Com</v>
      </c>
      <c r="B1100" s="12" t="str">
        <f>IFERROR(__xludf.DUMMYFUNCTION("""COMPUTED_VALUE"""),"PIPR-US")</f>
        <v>PIPR-US</v>
      </c>
      <c r="C1100" s="12"/>
      <c r="D1100" s="13">
        <f>IFERROR(__xludf.DUMMYFUNCTION("""COMPUTED_VALUE"""),45434.0)</f>
        <v>45434</v>
      </c>
      <c r="E1100" s="13">
        <f>IFERROR(__xludf.DUMMYFUNCTION("""COMPUTED_VALUE"""),45799.0)</f>
        <v>45799</v>
      </c>
      <c r="F1100" s="13">
        <f>IFERROR(__xludf.DUMMYFUNCTION("""COMPUTED_VALUE"""),45799.0)</f>
        <v>45799</v>
      </c>
      <c r="G1100" s="16" t="s">
        <v>5150</v>
      </c>
      <c r="H1100" s="16" t="s">
        <v>5150</v>
      </c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>
      <c r="A1101" s="11" t="str">
        <f>IFERROR(__xludf.DUMMYFUNCTION("""COMPUTED_VALUE"""),"Dycom Industries Inc  Com")</f>
        <v>Dycom Industries Inc  Com</v>
      </c>
      <c r="B1101" s="12" t="str">
        <f>IFERROR(__xludf.DUMMYFUNCTION("""COMPUTED_VALUE"""),"DY-US")</f>
        <v>DY-US</v>
      </c>
      <c r="C1101" s="12"/>
      <c r="D1101" s="13">
        <f>IFERROR(__xludf.DUMMYFUNCTION("""COMPUTED_VALUE"""),45434.0)</f>
        <v>45434</v>
      </c>
      <c r="E1101" s="13">
        <f>IFERROR(__xludf.DUMMYFUNCTION("""COMPUTED_VALUE"""),45799.0)</f>
        <v>45799</v>
      </c>
      <c r="F1101" s="13">
        <f>IFERROR(__xludf.DUMMYFUNCTION("""COMPUTED_VALUE"""),45799.0)</f>
        <v>45799</v>
      </c>
      <c r="G1101" s="16" t="s">
        <v>5150</v>
      </c>
      <c r="H1101" s="16" t="s">
        <v>5150</v>
      </c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>
      <c r="A1102" s="11" t="str">
        <f>IFERROR(__xludf.DUMMYFUNCTION("""COMPUTED_VALUE"""),"Sm Energy Co   Com")</f>
        <v>Sm Energy Co   Com</v>
      </c>
      <c r="B1102" s="12" t="str">
        <f>IFERROR(__xludf.DUMMYFUNCTION("""COMPUTED_VALUE"""),"SM-US")</f>
        <v>SM-US</v>
      </c>
      <c r="C1102" s="12"/>
      <c r="D1102" s="13">
        <f>IFERROR(__xludf.DUMMYFUNCTION("""COMPUTED_VALUE"""),45434.0)</f>
        <v>45434</v>
      </c>
      <c r="E1102" s="13">
        <f>IFERROR(__xludf.DUMMYFUNCTION("""COMPUTED_VALUE"""),45799.0)</f>
        <v>45799</v>
      </c>
      <c r="F1102" s="13">
        <f>IFERROR(__xludf.DUMMYFUNCTION("""COMPUTED_VALUE"""),45799.0)</f>
        <v>45799</v>
      </c>
      <c r="G1102" s="16" t="s">
        <v>5150</v>
      </c>
      <c r="H1102" s="16" t="s">
        <v>5150</v>
      </c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>
      <c r="A1103" s="11" t="str">
        <f>IFERROR(__xludf.DUMMYFUNCTION("""COMPUTED_VALUE"""),"Belden Inc  Com")</f>
        <v>Belden Inc  Com</v>
      </c>
      <c r="B1103" s="12" t="str">
        <f>IFERROR(__xludf.DUMMYFUNCTION("""COMPUTED_VALUE"""),"BDC-US")</f>
        <v>BDC-US</v>
      </c>
      <c r="C1103" s="12"/>
      <c r="D1103" s="13">
        <f>IFERROR(__xludf.DUMMYFUNCTION("""COMPUTED_VALUE"""),45434.0)</f>
        <v>45434</v>
      </c>
      <c r="E1103" s="13">
        <f>IFERROR(__xludf.DUMMYFUNCTION("""COMPUTED_VALUE"""),45799.0)</f>
        <v>45799</v>
      </c>
      <c r="F1103" s="13">
        <f>IFERROR(__xludf.DUMMYFUNCTION("""COMPUTED_VALUE"""),45799.0)</f>
        <v>45799</v>
      </c>
      <c r="G1103" s="16" t="s">
        <v>5150</v>
      </c>
      <c r="H1103" s="16" t="s">
        <v>5150</v>
      </c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>
      <c r="A1104" s="11" t="str">
        <f>IFERROR(__xludf.DUMMYFUNCTION("""COMPUTED_VALUE"""),"White Mountains Insurance Group  Com")</f>
        <v>White Mountains Insurance Group  Com</v>
      </c>
      <c r="B1104" s="12" t="str">
        <f>IFERROR(__xludf.DUMMYFUNCTION("""COMPUTED_VALUE"""),"WTM-US")</f>
        <v>WTM-US</v>
      </c>
      <c r="C1104" s="12"/>
      <c r="D1104" s="13">
        <f>IFERROR(__xludf.DUMMYFUNCTION("""COMPUTED_VALUE"""),45434.0)</f>
        <v>45434</v>
      </c>
      <c r="E1104" s="13">
        <f>IFERROR(__xludf.DUMMYFUNCTION("""COMPUTED_VALUE"""),45799.0)</f>
        <v>45799</v>
      </c>
      <c r="F1104" s="13">
        <f>IFERROR(__xludf.DUMMYFUNCTION("""COMPUTED_VALUE"""),45799.0)</f>
        <v>45799</v>
      </c>
      <c r="G1104" s="16" t="s">
        <v>5150</v>
      </c>
      <c r="H1104" s="16" t="s">
        <v>5150</v>
      </c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>
      <c r="A1105" s="11" t="str">
        <f>IFERROR(__xludf.DUMMYFUNCTION("""COMPUTED_VALUE"""),"Sealed Air Corp  Com")</f>
        <v>Sealed Air Corp  Com</v>
      </c>
      <c r="B1105" s="12" t="str">
        <f>IFERROR(__xludf.DUMMYFUNCTION("""COMPUTED_VALUE"""),"SEE-US")</f>
        <v>SEE-US</v>
      </c>
      <c r="C1105" s="12"/>
      <c r="D1105" s="13">
        <f>IFERROR(__xludf.DUMMYFUNCTION("""COMPUTED_VALUE"""),45434.0)</f>
        <v>45434</v>
      </c>
      <c r="E1105" s="13">
        <f>IFERROR(__xludf.DUMMYFUNCTION("""COMPUTED_VALUE"""),45806.0)</f>
        <v>45806</v>
      </c>
      <c r="F1105" s="13">
        <f>IFERROR(__xludf.DUMMYFUNCTION("""COMPUTED_VALUE"""),45806.0)</f>
        <v>45806</v>
      </c>
      <c r="G1105" s="16" t="s">
        <v>5150</v>
      </c>
      <c r="H1105" s="16" t="s">
        <v>5150</v>
      </c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>
      <c r="A1106" s="11" t="str">
        <f>IFERROR(__xludf.DUMMYFUNCTION("""COMPUTED_VALUE"""),"Acadia Healthcare Co Inc  Com")</f>
        <v>Acadia Healthcare Co Inc  Com</v>
      </c>
      <c r="B1106" s="12" t="str">
        <f>IFERROR(__xludf.DUMMYFUNCTION("""COMPUTED_VALUE"""),"ACHC-US")</f>
        <v>ACHC-US</v>
      </c>
      <c r="C1106" s="12"/>
      <c r="D1106" s="13">
        <f>IFERROR(__xludf.DUMMYFUNCTION("""COMPUTED_VALUE"""),45434.0)</f>
        <v>45434</v>
      </c>
      <c r="E1106" s="13">
        <f>IFERROR(__xludf.DUMMYFUNCTION("""COMPUTED_VALUE"""),45806.0)</f>
        <v>45806</v>
      </c>
      <c r="F1106" s="13">
        <f>IFERROR(__xludf.DUMMYFUNCTION("""COMPUTED_VALUE"""),45806.0)</f>
        <v>45806</v>
      </c>
      <c r="G1106" s="16" t="s">
        <v>5150</v>
      </c>
      <c r="H1106" s="16" t="s">
        <v>5150</v>
      </c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>
      <c r="A1107" s="11" t="str">
        <f>IFERROR(__xludf.DUMMYFUNCTION("""COMPUTED_VALUE"""),"Verra Mobility Corp  Cl A")</f>
        <v>Verra Mobility Corp  Cl A</v>
      </c>
      <c r="B1107" s="12" t="str">
        <f>IFERROR(__xludf.DUMMYFUNCTION("""COMPUTED_VALUE"""),"VRRM-US")</f>
        <v>VRRM-US</v>
      </c>
      <c r="C1107" s="12"/>
      <c r="D1107" s="13">
        <f>IFERROR(__xludf.DUMMYFUNCTION("""COMPUTED_VALUE"""),45434.0)</f>
        <v>45434</v>
      </c>
      <c r="E1107" s="13">
        <f>IFERROR(__xludf.DUMMYFUNCTION("""COMPUTED_VALUE"""),45797.0)</f>
        <v>45797</v>
      </c>
      <c r="F1107" s="13">
        <f>IFERROR(__xludf.DUMMYFUNCTION("""COMPUTED_VALUE"""),45797.0)</f>
        <v>45797</v>
      </c>
      <c r="G1107" s="16" t="s">
        <v>5150</v>
      </c>
      <c r="H1107" s="16" t="s">
        <v>5150</v>
      </c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>
      <c r="A1108" s="11" t="str">
        <f>IFERROR(__xludf.DUMMYFUNCTION("""COMPUTED_VALUE"""),"Installed Building Products Inc  Com")</f>
        <v>Installed Building Products Inc  Com</v>
      </c>
      <c r="B1108" s="12" t="str">
        <f>IFERROR(__xludf.DUMMYFUNCTION("""COMPUTED_VALUE"""),"IBP-US")</f>
        <v>IBP-US</v>
      </c>
      <c r="C1108" s="12"/>
      <c r="D1108" s="13">
        <f>IFERROR(__xludf.DUMMYFUNCTION("""COMPUTED_VALUE"""),45434.0)</f>
        <v>45434</v>
      </c>
      <c r="E1108" s="13">
        <f>IFERROR(__xludf.DUMMYFUNCTION("""COMPUTED_VALUE"""),45741.0)</f>
        <v>45741</v>
      </c>
      <c r="F1108" s="13">
        <f>IFERROR(__xludf.DUMMYFUNCTION("""COMPUTED_VALUE"""),45741.0)</f>
        <v>45741</v>
      </c>
      <c r="G1108" s="16" t="s">
        <v>5152</v>
      </c>
      <c r="H1108" s="16" t="s">
        <v>5152</v>
      </c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>
      <c r="A1109" s="11" t="str">
        <f>IFERROR(__xludf.DUMMYFUNCTION("""COMPUTED_VALUE"""),"Flowers Foods Inc  Com")</f>
        <v>Flowers Foods Inc  Com</v>
      </c>
      <c r="B1109" s="12" t="str">
        <f>IFERROR(__xludf.DUMMYFUNCTION("""COMPUTED_VALUE"""),"FLO-US")</f>
        <v>FLO-US</v>
      </c>
      <c r="C1109" s="12"/>
      <c r="D1109" s="13">
        <f>IFERROR(__xludf.DUMMYFUNCTION("""COMPUTED_VALUE"""),45434.0)</f>
        <v>45434</v>
      </c>
      <c r="E1109" s="13">
        <f>IFERROR(__xludf.DUMMYFUNCTION("""COMPUTED_VALUE"""),45799.0)</f>
        <v>45799</v>
      </c>
      <c r="F1109" s="13">
        <f>IFERROR(__xludf.DUMMYFUNCTION("""COMPUTED_VALUE"""),45799.0)</f>
        <v>45799</v>
      </c>
      <c r="G1109" s="16" t="s">
        <v>5150</v>
      </c>
      <c r="H1109" s="16" t="s">
        <v>5150</v>
      </c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>
      <c r="A1110" s="11" t="str">
        <f>IFERROR(__xludf.DUMMYFUNCTION("""COMPUTED_VALUE"""),"One Gas Inc  Com")</f>
        <v>One Gas Inc  Com</v>
      </c>
      <c r="B1110" s="12" t="str">
        <f>IFERROR(__xludf.DUMMYFUNCTION("""COMPUTED_VALUE"""),"OGS-US")</f>
        <v>OGS-US</v>
      </c>
      <c r="C1110" s="12"/>
      <c r="D1110" s="13">
        <f>IFERROR(__xludf.DUMMYFUNCTION("""COMPUTED_VALUE"""),45434.0)</f>
        <v>45434</v>
      </c>
      <c r="E1110" s="13">
        <f>IFERROR(__xludf.DUMMYFUNCTION("""COMPUTED_VALUE"""),45799.0)</f>
        <v>45799</v>
      </c>
      <c r="F1110" s="13">
        <f>IFERROR(__xludf.DUMMYFUNCTION("""COMPUTED_VALUE"""),45799.0)</f>
        <v>45799</v>
      </c>
      <c r="G1110" s="16" t="s">
        <v>5150</v>
      </c>
      <c r="H1110" s="16" t="s">
        <v>5150</v>
      </c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>
      <c r="A1111" s="11" t="str">
        <f>IFERROR(__xludf.DUMMYFUNCTION("""COMPUTED_VALUE"""),"Apple Hospitality Reit Inc  Com")</f>
        <v>Apple Hospitality Reit Inc  Com</v>
      </c>
      <c r="B1111" s="12" t="str">
        <f>IFERROR(__xludf.DUMMYFUNCTION("""COMPUTED_VALUE"""),"APLE-US")</f>
        <v>APLE-US</v>
      </c>
      <c r="C1111" s="12"/>
      <c r="D1111" s="13">
        <f>IFERROR(__xludf.DUMMYFUNCTION("""COMPUTED_VALUE"""),45434.0)</f>
        <v>45434</v>
      </c>
      <c r="E1111" s="13">
        <f>IFERROR(__xludf.DUMMYFUNCTION("""COMPUTED_VALUE"""),45792.0)</f>
        <v>45792</v>
      </c>
      <c r="F1111" s="13">
        <f>IFERROR(__xludf.DUMMYFUNCTION("""COMPUTED_VALUE"""),45792.0)</f>
        <v>45792</v>
      </c>
      <c r="G1111" s="16" t="s">
        <v>5155</v>
      </c>
      <c r="H1111" s="16" t="s">
        <v>5155</v>
      </c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>
      <c r="A1112" s="11" t="str">
        <f>IFERROR(__xludf.DUMMYFUNCTION("""COMPUTED_VALUE"""),"Northern Oil &amp; Gas Inc  Com")</f>
        <v>Northern Oil &amp; Gas Inc  Com</v>
      </c>
      <c r="B1112" s="12" t="str">
        <f>IFERROR(__xludf.DUMMYFUNCTION("""COMPUTED_VALUE"""),"NOG-US")</f>
        <v>NOG-US</v>
      </c>
      <c r="C1112" s="12"/>
      <c r="D1112" s="13">
        <f>IFERROR(__xludf.DUMMYFUNCTION("""COMPUTED_VALUE"""),45434.0)</f>
        <v>45434</v>
      </c>
      <c r="E1112" s="13">
        <f>IFERROR(__xludf.DUMMYFUNCTION("""COMPUTED_VALUE"""),45799.0)</f>
        <v>45799</v>
      </c>
      <c r="F1112" s="13">
        <f>IFERROR(__xludf.DUMMYFUNCTION("""COMPUTED_VALUE"""),45799.0)</f>
        <v>45799</v>
      </c>
      <c r="G1112" s="16" t="s">
        <v>5150</v>
      </c>
      <c r="H1112" s="16" t="s">
        <v>5150</v>
      </c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>
      <c r="A1113" s="11" t="str">
        <f>IFERROR(__xludf.DUMMYFUNCTION("""COMPUTED_VALUE"""),"Terex Corp  Com")</f>
        <v>Terex Corp  Com</v>
      </c>
      <c r="B1113" s="12" t="str">
        <f>IFERROR(__xludf.DUMMYFUNCTION("""COMPUTED_VALUE"""),"TEX-US")</f>
        <v>TEX-US</v>
      </c>
      <c r="C1113" s="12"/>
      <c r="D1113" s="13">
        <f>IFERROR(__xludf.DUMMYFUNCTION("""COMPUTED_VALUE"""),45434.0)</f>
        <v>45434</v>
      </c>
      <c r="E1113" s="13">
        <f>IFERROR(__xludf.DUMMYFUNCTION("""COMPUTED_VALUE"""),45791.0)</f>
        <v>45791</v>
      </c>
      <c r="F1113" s="13">
        <f>IFERROR(__xludf.DUMMYFUNCTION("""COMPUTED_VALUE"""),45791.0)</f>
        <v>45791</v>
      </c>
      <c r="G1113" s="16" t="s">
        <v>5150</v>
      </c>
      <c r="H1113" s="16" t="s">
        <v>5150</v>
      </c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>
      <c r="A1114" s="11" t="str">
        <f>IFERROR(__xludf.DUMMYFUNCTION("""COMPUTED_VALUE"""),"Genworth Financial Inc  Cl A")</f>
        <v>Genworth Financial Inc  Cl A</v>
      </c>
      <c r="B1114" s="12" t="str">
        <f>IFERROR(__xludf.DUMMYFUNCTION("""COMPUTED_VALUE"""),"GNW-US")</f>
        <v>GNW-US</v>
      </c>
      <c r="C1114" s="12"/>
      <c r="D1114" s="13">
        <f>IFERROR(__xludf.DUMMYFUNCTION("""COMPUTED_VALUE"""),45434.0)</f>
        <v>45434</v>
      </c>
      <c r="E1114" s="13">
        <f>IFERROR(__xludf.DUMMYFUNCTION("""COMPUTED_VALUE"""),45799.0)</f>
        <v>45799</v>
      </c>
      <c r="F1114" s="13">
        <f>IFERROR(__xludf.DUMMYFUNCTION("""COMPUTED_VALUE"""),45799.0)</f>
        <v>45799</v>
      </c>
      <c r="G1114" s="16" t="s">
        <v>5150</v>
      </c>
      <c r="H1114" s="16" t="s">
        <v>5150</v>
      </c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>
      <c r="A1115" s="11" t="str">
        <f>IFERROR(__xludf.DUMMYFUNCTION("""COMPUTED_VALUE"""),"First Bancorp /Pr/  Com")</f>
        <v>First Bancorp /Pr/  Com</v>
      </c>
      <c r="B1115" s="12" t="str">
        <f>IFERROR(__xludf.DUMMYFUNCTION("""COMPUTED_VALUE"""),"FBP-US")</f>
        <v>FBP-US</v>
      </c>
      <c r="C1115" s="12"/>
      <c r="D1115" s="13">
        <f>IFERROR(__xludf.DUMMYFUNCTION("""COMPUTED_VALUE"""),45434.0)</f>
        <v>45434</v>
      </c>
      <c r="E1115" s="13">
        <f>IFERROR(__xludf.DUMMYFUNCTION("""COMPUTED_VALUE"""),45798.0)</f>
        <v>45798</v>
      </c>
      <c r="F1115" s="13">
        <f>IFERROR(__xludf.DUMMYFUNCTION("""COMPUTED_VALUE"""),45798.0)</f>
        <v>45798</v>
      </c>
      <c r="G1115" s="16" t="s">
        <v>5152</v>
      </c>
      <c r="H1115" s="16" t="s">
        <v>5152</v>
      </c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>
      <c r="A1116" s="11" t="str">
        <f>IFERROR(__xludf.DUMMYFUNCTION("""COMPUTED_VALUE"""),"Hub Group Inc  Cl A")</f>
        <v>Hub Group Inc  Cl A</v>
      </c>
      <c r="B1116" s="12" t="str">
        <f>IFERROR(__xludf.DUMMYFUNCTION("""COMPUTED_VALUE"""),"HUBG-US")</f>
        <v>HUBG-US</v>
      </c>
      <c r="C1116" s="12"/>
      <c r="D1116" s="13">
        <f>IFERROR(__xludf.DUMMYFUNCTION("""COMPUTED_VALUE"""),45434.0)</f>
        <v>45434</v>
      </c>
      <c r="E1116" s="13">
        <f>IFERROR(__xludf.DUMMYFUNCTION("""COMPUTED_VALUE"""),45790.0)</f>
        <v>45790</v>
      </c>
      <c r="F1116" s="13">
        <f>IFERROR(__xludf.DUMMYFUNCTION("""COMPUTED_VALUE"""),45790.0)</f>
        <v>45790</v>
      </c>
      <c r="G1116" s="16" t="s">
        <v>5150</v>
      </c>
      <c r="H1116" s="16" t="s">
        <v>5150</v>
      </c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>
      <c r="A1117" s="11" t="str">
        <f>IFERROR(__xludf.DUMMYFUNCTION("""COMPUTED_VALUE"""),"Trinet Group Inc  Com")</f>
        <v>Trinet Group Inc  Com</v>
      </c>
      <c r="B1117" s="12" t="str">
        <f>IFERROR(__xludf.DUMMYFUNCTION("""COMPUTED_VALUE"""),"TNET-US")</f>
        <v>TNET-US</v>
      </c>
      <c r="C1117" s="12"/>
      <c r="D1117" s="13">
        <f>IFERROR(__xludf.DUMMYFUNCTION("""COMPUTED_VALUE"""),45434.0)</f>
        <v>45434</v>
      </c>
      <c r="E1117" s="13">
        <f>IFERROR(__xludf.DUMMYFUNCTION("""COMPUTED_VALUE"""),45799.0)</f>
        <v>45799</v>
      </c>
      <c r="F1117" s="13">
        <f>IFERROR(__xludf.DUMMYFUNCTION("""COMPUTED_VALUE"""),45799.0)</f>
        <v>45799</v>
      </c>
      <c r="G1117" s="16" t="s">
        <v>5150</v>
      </c>
      <c r="H1117" s="16" t="s">
        <v>5150</v>
      </c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>
      <c r="A1118" s="11" t="str">
        <f>IFERROR(__xludf.DUMMYFUNCTION("""COMPUTED_VALUE"""),"Crane Nxt Co  Com")</f>
        <v>Crane Nxt Co  Com</v>
      </c>
      <c r="B1118" s="12" t="str">
        <f>IFERROR(__xludf.DUMMYFUNCTION("""COMPUTED_VALUE"""),"CXT-US")</f>
        <v>CXT-US</v>
      </c>
      <c r="C1118" s="12"/>
      <c r="D1118" s="13">
        <f>IFERROR(__xludf.DUMMYFUNCTION("""COMPUTED_VALUE"""),45434.0)</f>
        <v>45434</v>
      </c>
      <c r="E1118" s="13">
        <f>IFERROR(__xludf.DUMMYFUNCTION("""COMPUTED_VALUE"""),45799.0)</f>
        <v>45799</v>
      </c>
      <c r="F1118" s="13">
        <f>IFERROR(__xludf.DUMMYFUNCTION("""COMPUTED_VALUE"""),45799.0)</f>
        <v>45799</v>
      </c>
      <c r="G1118" s="16" t="s">
        <v>5150</v>
      </c>
      <c r="H1118" s="16" t="s">
        <v>5150</v>
      </c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>
      <c r="A1119" s="11" t="str">
        <f>IFERROR(__xludf.DUMMYFUNCTION("""COMPUTED_VALUE"""),"Doubleverify Holdings Inc  Com")</f>
        <v>Doubleverify Holdings Inc  Com</v>
      </c>
      <c r="B1119" s="12" t="str">
        <f>IFERROR(__xludf.DUMMYFUNCTION("""COMPUTED_VALUE"""),"DV-US")</f>
        <v>DV-US</v>
      </c>
      <c r="C1119" s="12"/>
      <c r="D1119" s="13">
        <f>IFERROR(__xludf.DUMMYFUNCTION("""COMPUTED_VALUE"""),45434.0)</f>
        <v>45434</v>
      </c>
      <c r="E1119" s="13">
        <f>IFERROR(__xludf.DUMMYFUNCTION("""COMPUTED_VALUE"""),45798.0)</f>
        <v>45798</v>
      </c>
      <c r="F1119" s="13">
        <f>IFERROR(__xludf.DUMMYFUNCTION("""COMPUTED_VALUE"""),45798.0)</f>
        <v>45798</v>
      </c>
      <c r="G1119" s="16" t="s">
        <v>5150</v>
      </c>
      <c r="H1119" s="16" t="s">
        <v>5150</v>
      </c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>
      <c r="A1120" s="11" t="str">
        <f>IFERROR(__xludf.DUMMYFUNCTION("""COMPUTED_VALUE"""),"Bancfirst Corp  Com")</f>
        <v>Bancfirst Corp  Com</v>
      </c>
      <c r="B1120" s="12" t="str">
        <f>IFERROR(__xludf.DUMMYFUNCTION("""COMPUTED_VALUE"""),"BANF-US")</f>
        <v>BANF-US</v>
      </c>
      <c r="C1120" s="12"/>
      <c r="D1120" s="13">
        <f>IFERROR(__xludf.DUMMYFUNCTION("""COMPUTED_VALUE"""),45434.0)</f>
        <v>45434</v>
      </c>
      <c r="E1120" s="13">
        <f>IFERROR(__xludf.DUMMYFUNCTION("""COMPUTED_VALUE"""),45799.0)</f>
        <v>45799</v>
      </c>
      <c r="F1120" s="13">
        <f>IFERROR(__xludf.DUMMYFUNCTION("""COMPUTED_VALUE"""),45799.0)</f>
        <v>45799</v>
      </c>
      <c r="G1120" s="16" t="s">
        <v>5150</v>
      </c>
      <c r="H1120" s="16" t="s">
        <v>5150</v>
      </c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>
      <c r="A1121" s="11" t="str">
        <f>IFERROR(__xludf.DUMMYFUNCTION("""COMPUTED_VALUE"""),"Evertec Inc  Com")</f>
        <v>Evertec Inc  Com</v>
      </c>
      <c r="B1121" s="12" t="str">
        <f>IFERROR(__xludf.DUMMYFUNCTION("""COMPUTED_VALUE"""),"EVTC-US")</f>
        <v>EVTC-US</v>
      </c>
      <c r="C1121" s="12"/>
      <c r="D1121" s="13">
        <f>IFERROR(__xludf.DUMMYFUNCTION("""COMPUTED_VALUE"""),45434.0)</f>
        <v>45434</v>
      </c>
      <c r="E1121" s="13">
        <f>IFERROR(__xludf.DUMMYFUNCTION("""COMPUTED_VALUE"""),45799.0)</f>
        <v>45799</v>
      </c>
      <c r="F1121" s="13">
        <f>IFERROR(__xludf.DUMMYFUNCTION("""COMPUTED_VALUE"""),45799.0)</f>
        <v>45799</v>
      </c>
      <c r="G1121" s="16" t="s">
        <v>5150</v>
      </c>
      <c r="H1121" s="16" t="s">
        <v>5150</v>
      </c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>
      <c r="A1122" s="11" t="str">
        <f>IFERROR(__xludf.DUMMYFUNCTION("""COMPUTED_VALUE"""),"Neogenomics Inc  Com")</f>
        <v>Neogenomics Inc  Com</v>
      </c>
      <c r="B1122" s="12" t="str">
        <f>IFERROR(__xludf.DUMMYFUNCTION("""COMPUTED_VALUE"""),"NEO-US")</f>
        <v>NEO-US</v>
      </c>
      <c r="C1122" s="12"/>
      <c r="D1122" s="13">
        <f>IFERROR(__xludf.DUMMYFUNCTION("""COMPUTED_VALUE"""),45434.0)</f>
        <v>45434</v>
      </c>
      <c r="E1122" s="13">
        <f>IFERROR(__xludf.DUMMYFUNCTION("""COMPUTED_VALUE"""),45799.0)</f>
        <v>45799</v>
      </c>
      <c r="F1122" s="13">
        <f>IFERROR(__xludf.DUMMYFUNCTION("""COMPUTED_VALUE"""),45799.0)</f>
        <v>45799</v>
      </c>
      <c r="G1122" s="16" t="s">
        <v>5150</v>
      </c>
      <c r="H1122" s="16" t="s">
        <v>5150</v>
      </c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>
      <c r="A1123" s="11" t="str">
        <f>IFERROR(__xludf.DUMMYFUNCTION("""COMPUTED_VALUE"""),"Sotera Health Co  Com")</f>
        <v>Sotera Health Co  Com</v>
      </c>
      <c r="B1123" s="12" t="str">
        <f>IFERROR(__xludf.DUMMYFUNCTION("""COMPUTED_VALUE"""),"SHC-US")</f>
        <v>SHC-US</v>
      </c>
      <c r="C1123" s="12"/>
      <c r="D1123" s="13">
        <f>IFERROR(__xludf.DUMMYFUNCTION("""COMPUTED_VALUE"""),45434.0)</f>
        <v>45434</v>
      </c>
      <c r="E1123" s="13">
        <f>IFERROR(__xludf.DUMMYFUNCTION("""COMPUTED_VALUE"""),45798.0)</f>
        <v>45798</v>
      </c>
      <c r="F1123" s="13">
        <f>IFERROR(__xludf.DUMMYFUNCTION("""COMPUTED_VALUE"""),45798.0)</f>
        <v>45798</v>
      </c>
      <c r="G1123" s="16" t="s">
        <v>5150</v>
      </c>
      <c r="H1123" s="16" t="s">
        <v>5150</v>
      </c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>
      <c r="A1124" s="11" t="str">
        <f>IFERROR(__xludf.DUMMYFUNCTION("""COMPUTED_VALUE"""),"Fb Financial Corp  Com")</f>
        <v>Fb Financial Corp  Com</v>
      </c>
      <c r="B1124" s="12" t="str">
        <f>IFERROR(__xludf.DUMMYFUNCTION("""COMPUTED_VALUE"""),"FBK-US")</f>
        <v>FBK-US</v>
      </c>
      <c r="C1124" s="12"/>
      <c r="D1124" s="13">
        <f>IFERROR(__xludf.DUMMYFUNCTION("""COMPUTED_VALUE"""),45434.0)</f>
        <v>45434</v>
      </c>
      <c r="E1124" s="13">
        <f>IFERROR(__xludf.DUMMYFUNCTION("""COMPUTED_VALUE"""),45799.0)</f>
        <v>45799</v>
      </c>
      <c r="F1124" s="13">
        <f>IFERROR(__xludf.DUMMYFUNCTION("""COMPUTED_VALUE"""),45799.0)</f>
        <v>45799</v>
      </c>
      <c r="G1124" s="16" t="s">
        <v>5150</v>
      </c>
      <c r="H1124" s="16" t="s">
        <v>5150</v>
      </c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>
      <c r="A1125" s="11" t="str">
        <f>IFERROR(__xludf.DUMMYFUNCTION("""COMPUTED_VALUE"""),"Perdoceo Education Corp  Com")</f>
        <v>Perdoceo Education Corp  Com</v>
      </c>
      <c r="B1125" s="12" t="str">
        <f>IFERROR(__xludf.DUMMYFUNCTION("""COMPUTED_VALUE"""),"PRDO-US")</f>
        <v>PRDO-US</v>
      </c>
      <c r="C1125" s="12"/>
      <c r="D1125" s="13">
        <f>IFERROR(__xludf.DUMMYFUNCTION("""COMPUTED_VALUE"""),45434.0)</f>
        <v>45434</v>
      </c>
      <c r="E1125" s="13">
        <f>IFERROR(__xludf.DUMMYFUNCTION("""COMPUTED_VALUE"""),45799.0)</f>
        <v>45799</v>
      </c>
      <c r="F1125" s="13">
        <f>IFERROR(__xludf.DUMMYFUNCTION("""COMPUTED_VALUE"""),45799.0)</f>
        <v>45799</v>
      </c>
      <c r="G1125" s="16" t="s">
        <v>5150</v>
      </c>
      <c r="H1125" s="16" t="s">
        <v>5150</v>
      </c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>
      <c r="A1126" s="11" t="str">
        <f>IFERROR(__xludf.DUMMYFUNCTION("""COMPUTED_VALUE"""),"Dynavax Technologies Corp  Com")</f>
        <v>Dynavax Technologies Corp  Com</v>
      </c>
      <c r="B1126" s="12" t="str">
        <f>IFERROR(__xludf.DUMMYFUNCTION("""COMPUTED_VALUE"""),"DVAX-US")</f>
        <v>DVAX-US</v>
      </c>
      <c r="C1126" s="12"/>
      <c r="D1126" s="13">
        <f>IFERROR(__xludf.DUMMYFUNCTION("""COMPUTED_VALUE"""),45434.0)</f>
        <v>45434</v>
      </c>
      <c r="E1126" s="13">
        <f>IFERROR(__xludf.DUMMYFUNCTION("""COMPUTED_VALUE"""),45819.0)</f>
        <v>45819</v>
      </c>
      <c r="F1126" s="13">
        <f>IFERROR(__xludf.DUMMYFUNCTION("""COMPUTED_VALUE"""),45819.0)</f>
        <v>45819</v>
      </c>
      <c r="G1126" s="16" t="s">
        <v>5150</v>
      </c>
      <c r="H1126" s="16" t="s">
        <v>5150</v>
      </c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>
      <c r="A1127" s="11" t="str">
        <f>IFERROR(__xludf.DUMMYFUNCTION("""COMPUTED_VALUE"""),"Teladoc Health Inc  Com")</f>
        <v>Teladoc Health Inc  Com</v>
      </c>
      <c r="B1127" s="12" t="str">
        <f>IFERROR(__xludf.DUMMYFUNCTION("""COMPUTED_VALUE"""),"TDOC-US")</f>
        <v>TDOC-US</v>
      </c>
      <c r="C1127" s="12"/>
      <c r="D1127" s="13">
        <f>IFERROR(__xludf.DUMMYFUNCTION("""COMPUTED_VALUE"""),45434.0)</f>
        <v>45434</v>
      </c>
      <c r="E1127" s="13">
        <f>IFERROR(__xludf.DUMMYFUNCTION("""COMPUTED_VALUE"""),45799.0)</f>
        <v>45799</v>
      </c>
      <c r="F1127" s="13">
        <f>IFERROR(__xludf.DUMMYFUNCTION("""COMPUTED_VALUE"""),45799.0)</f>
        <v>45799</v>
      </c>
      <c r="G1127" s="16" t="s">
        <v>5150</v>
      </c>
      <c r="H1127" s="16" t="s">
        <v>5150</v>
      </c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>
      <c r="A1128" s="11" t="str">
        <f>IFERROR(__xludf.DUMMYFUNCTION("""COMPUTED_VALUE"""),"Global Net Lease Inc  Com")</f>
        <v>Global Net Lease Inc  Com</v>
      </c>
      <c r="B1128" s="12" t="str">
        <f>IFERROR(__xludf.DUMMYFUNCTION("""COMPUTED_VALUE"""),"GNL-US")</f>
        <v>GNL-US</v>
      </c>
      <c r="C1128" s="12"/>
      <c r="D1128" s="13">
        <f>IFERROR(__xludf.DUMMYFUNCTION("""COMPUTED_VALUE"""),45434.0)</f>
        <v>45434</v>
      </c>
      <c r="E1128" s="13">
        <f>IFERROR(__xludf.DUMMYFUNCTION("""COMPUTED_VALUE"""),45799.0)</f>
        <v>45799</v>
      </c>
      <c r="F1128" s="13">
        <f>IFERROR(__xludf.DUMMYFUNCTION("""COMPUTED_VALUE"""),45799.0)</f>
        <v>45799</v>
      </c>
      <c r="G1128" s="16" t="s">
        <v>5150</v>
      </c>
      <c r="H1128" s="16" t="s">
        <v>5150</v>
      </c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>
      <c r="A1129" s="11" t="str">
        <f>IFERROR(__xludf.DUMMYFUNCTION("""COMPUTED_VALUE"""),"Maxlinear Inc  Com")</f>
        <v>Maxlinear Inc  Com</v>
      </c>
      <c r="B1129" s="12" t="str">
        <f>IFERROR(__xludf.DUMMYFUNCTION("""COMPUTED_VALUE"""),"MXL-US")</f>
        <v>MXL-US</v>
      </c>
      <c r="C1129" s="12"/>
      <c r="D1129" s="13">
        <f>IFERROR(__xludf.DUMMYFUNCTION("""COMPUTED_VALUE"""),45435.0)</f>
        <v>45435</v>
      </c>
      <c r="E1129" s="13">
        <f>IFERROR(__xludf.DUMMYFUNCTION("""COMPUTED_VALUE"""),45797.0)</f>
        <v>45797</v>
      </c>
      <c r="F1129" s="13">
        <f>IFERROR(__xludf.DUMMYFUNCTION("""COMPUTED_VALUE"""),45797.0)</f>
        <v>45797</v>
      </c>
      <c r="G1129" s="16" t="s">
        <v>5150</v>
      </c>
      <c r="H1129" s="16" t="s">
        <v>5150</v>
      </c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>
      <c r="A1130" s="11" t="str">
        <f>IFERROR(__xludf.DUMMYFUNCTION("""COMPUTED_VALUE"""),"Ssr Mining Inc  Com")</f>
        <v>Ssr Mining Inc  Com</v>
      </c>
      <c r="B1130" s="12" t="str">
        <f>IFERROR(__xludf.DUMMYFUNCTION("""COMPUTED_VALUE"""),"SSRM-CA")</f>
        <v>SSRM-CA</v>
      </c>
      <c r="C1130" s="12"/>
      <c r="D1130" s="13">
        <f>IFERROR(__xludf.DUMMYFUNCTION("""COMPUTED_VALUE"""),45435.0)</f>
        <v>45435</v>
      </c>
      <c r="E1130" s="13">
        <f>IFERROR(__xludf.DUMMYFUNCTION("""COMPUTED_VALUE"""),45785.0)</f>
        <v>45785</v>
      </c>
      <c r="F1130" s="13">
        <f>IFERROR(__xludf.DUMMYFUNCTION("""COMPUTED_VALUE"""),45785.0)</f>
        <v>45785</v>
      </c>
      <c r="G1130" s="16" t="s">
        <v>5152</v>
      </c>
      <c r="H1130" s="16" t="s">
        <v>5152</v>
      </c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>
      <c r="A1131" s="11" t="str">
        <f>IFERROR(__xludf.DUMMYFUNCTION("""COMPUTED_VALUE"""),"Progyny Inc  Com")</f>
        <v>Progyny Inc  Com</v>
      </c>
      <c r="B1131" s="12" t="str">
        <f>IFERROR(__xludf.DUMMYFUNCTION("""COMPUTED_VALUE"""),"PGNY-US")</f>
        <v>PGNY-US</v>
      </c>
      <c r="C1131" s="12"/>
      <c r="D1131" s="13">
        <f>IFERROR(__xludf.DUMMYFUNCTION("""COMPUTED_VALUE"""),45435.0)</f>
        <v>45435</v>
      </c>
      <c r="E1131" s="13">
        <f>IFERROR(__xludf.DUMMYFUNCTION("""COMPUTED_VALUE"""),45799.0)</f>
        <v>45799</v>
      </c>
      <c r="F1131" s="13">
        <f>IFERROR(__xludf.DUMMYFUNCTION("""COMPUTED_VALUE"""),45799.0)</f>
        <v>45799</v>
      </c>
      <c r="G1131" s="16" t="s">
        <v>5150</v>
      </c>
      <c r="H1131" s="16" t="s">
        <v>5150</v>
      </c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>
      <c r="A1132" s="11" t="str">
        <f>IFERROR(__xludf.DUMMYFUNCTION("""COMPUTED_VALUE"""),"Talos Energy Inc  Com")</f>
        <v>Talos Energy Inc  Com</v>
      </c>
      <c r="B1132" s="12" t="str">
        <f>IFERROR(__xludf.DUMMYFUNCTION("""COMPUTED_VALUE"""),"TALO-US")</f>
        <v>TALO-US</v>
      </c>
      <c r="C1132" s="12"/>
      <c r="D1132" s="13">
        <f>IFERROR(__xludf.DUMMYFUNCTION("""COMPUTED_VALUE"""),45435.0)</f>
        <v>45435</v>
      </c>
      <c r="E1132" s="13">
        <f>IFERROR(__xludf.DUMMYFUNCTION("""COMPUTED_VALUE"""),45806.0)</f>
        <v>45806</v>
      </c>
      <c r="F1132" s="13">
        <f>IFERROR(__xludf.DUMMYFUNCTION("""COMPUTED_VALUE"""),45806.0)</f>
        <v>45806</v>
      </c>
      <c r="G1132" s="16" t="s">
        <v>5150</v>
      </c>
      <c r="H1132" s="16" t="s">
        <v>5150</v>
      </c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>
      <c r="A1133" s="11" t="str">
        <f>IFERROR(__xludf.DUMMYFUNCTION("""COMPUTED_VALUE"""),"Hope Bancorp Inc  Com")</f>
        <v>Hope Bancorp Inc  Com</v>
      </c>
      <c r="B1133" s="12" t="str">
        <f>IFERROR(__xludf.DUMMYFUNCTION("""COMPUTED_VALUE"""),"HOPE-US")</f>
        <v>HOPE-US</v>
      </c>
      <c r="C1133" s="12"/>
      <c r="D1133" s="13">
        <f>IFERROR(__xludf.DUMMYFUNCTION("""COMPUTED_VALUE"""),45435.0)</f>
        <v>45435</v>
      </c>
      <c r="E1133" s="13">
        <f>IFERROR(__xludf.DUMMYFUNCTION("""COMPUTED_VALUE"""),45799.0)</f>
        <v>45799</v>
      </c>
      <c r="F1133" s="13">
        <f>IFERROR(__xludf.DUMMYFUNCTION("""COMPUTED_VALUE"""),45799.0)</f>
        <v>45799</v>
      </c>
      <c r="G1133" s="16" t="s">
        <v>5150</v>
      </c>
      <c r="H1133" s="16" t="s">
        <v>5150</v>
      </c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>
      <c r="A1134" s="11" t="str">
        <f>IFERROR(__xludf.DUMMYFUNCTION("""COMPUTED_VALUE"""),"Navient Corp  Com")</f>
        <v>Navient Corp  Com</v>
      </c>
      <c r="B1134" s="12" t="str">
        <f>IFERROR(__xludf.DUMMYFUNCTION("""COMPUTED_VALUE"""),"NAVI-US")</f>
        <v>NAVI-US</v>
      </c>
      <c r="C1134" s="12"/>
      <c r="D1134" s="13">
        <f>IFERROR(__xludf.DUMMYFUNCTION("""COMPUTED_VALUE"""),45435.0)</f>
        <v>45435</v>
      </c>
      <c r="E1134" s="13">
        <f>IFERROR(__xludf.DUMMYFUNCTION("""COMPUTED_VALUE"""),45813.0)</f>
        <v>45813</v>
      </c>
      <c r="F1134" s="13">
        <f>IFERROR(__xludf.DUMMYFUNCTION("""COMPUTED_VALUE"""),45813.0)</f>
        <v>45813</v>
      </c>
      <c r="G1134" s="16" t="s">
        <v>5150</v>
      </c>
      <c r="H1134" s="16" t="s">
        <v>5150</v>
      </c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>
      <c r="A1135" s="11" t="str">
        <f>IFERROR(__xludf.DUMMYFUNCTION("""COMPUTED_VALUE"""),"Uniti Group Inc  Com")</f>
        <v>Uniti Group Inc  Com</v>
      </c>
      <c r="B1135" s="12" t="str">
        <f>IFERROR(__xludf.DUMMYFUNCTION("""COMPUTED_VALUE"""),"UNIT-US")</f>
        <v>UNIT-US</v>
      </c>
      <c r="C1135" s="12"/>
      <c r="D1135" s="13">
        <f>IFERROR(__xludf.DUMMYFUNCTION("""COMPUTED_VALUE"""),45435.0)</f>
        <v>45435</v>
      </c>
      <c r="E1135" s="13">
        <f>IFERROR(__xludf.DUMMYFUNCTION("""COMPUTED_VALUE"""),45806.0)</f>
        <v>45806</v>
      </c>
      <c r="F1135" s="13">
        <f>IFERROR(__xludf.DUMMYFUNCTION("""COMPUTED_VALUE"""),45806.0)</f>
        <v>45806</v>
      </c>
      <c r="G1135" s="16" t="s">
        <v>5150</v>
      </c>
      <c r="H1135" s="16" t="s">
        <v>5150</v>
      </c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>
      <c r="A1136" s="11" t="str">
        <f>IFERROR(__xludf.DUMMYFUNCTION("""COMPUTED_VALUE"""),"Northwest Natural Holding Co  Com")</f>
        <v>Northwest Natural Holding Co  Com</v>
      </c>
      <c r="B1136" s="12" t="str">
        <f>IFERROR(__xludf.DUMMYFUNCTION("""COMPUTED_VALUE"""),"NWN-US")</f>
        <v>NWN-US</v>
      </c>
      <c r="C1136" s="12"/>
      <c r="D1136" s="13">
        <f>IFERROR(__xludf.DUMMYFUNCTION("""COMPUTED_VALUE"""),45435.0)</f>
        <v>45435</v>
      </c>
      <c r="E1136" s="13">
        <f>IFERROR(__xludf.DUMMYFUNCTION("""COMPUTED_VALUE"""),45799.0)</f>
        <v>45799</v>
      </c>
      <c r="F1136" s="13">
        <f>IFERROR(__xludf.DUMMYFUNCTION("""COMPUTED_VALUE"""),45799.0)</f>
        <v>45799</v>
      </c>
      <c r="G1136" s="16" t="s">
        <v>5150</v>
      </c>
      <c r="H1136" s="16" t="s">
        <v>5150</v>
      </c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>
      <c r="A1137" s="11" t="str">
        <f>IFERROR(__xludf.DUMMYFUNCTION("""COMPUTED_VALUE"""),"Employers Holdings Inc  Com")</f>
        <v>Employers Holdings Inc  Com</v>
      </c>
      <c r="B1137" s="12" t="str">
        <f>IFERROR(__xludf.DUMMYFUNCTION("""COMPUTED_VALUE"""),"EIG-US")</f>
        <v>EIG-US</v>
      </c>
      <c r="C1137" s="12"/>
      <c r="D1137" s="13">
        <f>IFERROR(__xludf.DUMMYFUNCTION("""COMPUTED_VALUE"""),45435.0)</f>
        <v>45435</v>
      </c>
      <c r="E1137" s="13">
        <f>IFERROR(__xludf.DUMMYFUNCTION("""COMPUTED_VALUE"""),45799.0)</f>
        <v>45799</v>
      </c>
      <c r="F1137" s="13">
        <f>IFERROR(__xludf.DUMMYFUNCTION("""COMPUTED_VALUE"""),45799.0)</f>
        <v>45799</v>
      </c>
      <c r="G1137" s="16" t="s">
        <v>5150</v>
      </c>
      <c r="H1137" s="16" t="s">
        <v>5150</v>
      </c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>
      <c r="A1138" s="11" t="str">
        <f>IFERROR(__xludf.DUMMYFUNCTION("""COMPUTED_VALUE"""),"Trico Bancshares  Com")</f>
        <v>Trico Bancshares  Com</v>
      </c>
      <c r="B1138" s="12" t="str">
        <f>IFERROR(__xludf.DUMMYFUNCTION("""COMPUTED_VALUE"""),"TCBK-US")</f>
        <v>TCBK-US</v>
      </c>
      <c r="C1138" s="12"/>
      <c r="D1138" s="13">
        <f>IFERROR(__xludf.DUMMYFUNCTION("""COMPUTED_VALUE"""),45435.0)</f>
        <v>45435</v>
      </c>
      <c r="E1138" s="13">
        <f>IFERROR(__xludf.DUMMYFUNCTION("""COMPUTED_VALUE"""),45799.0)</f>
        <v>45799</v>
      </c>
      <c r="F1138" s="13">
        <f>IFERROR(__xludf.DUMMYFUNCTION("""COMPUTED_VALUE"""),45799.0)</f>
        <v>45799</v>
      </c>
      <c r="G1138" s="16" t="s">
        <v>5150</v>
      </c>
      <c r="H1138" s="16" t="s">
        <v>5150</v>
      </c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>
      <c r="A1139" s="11" t="str">
        <f>IFERROR(__xludf.DUMMYFUNCTION("""COMPUTED_VALUE"""),"Dime Community Bancshares Inc  Com")</f>
        <v>Dime Community Bancshares Inc  Com</v>
      </c>
      <c r="B1139" s="12" t="str">
        <f>IFERROR(__xludf.DUMMYFUNCTION("""COMPUTED_VALUE"""),"DCOM-US")</f>
        <v>DCOM-US</v>
      </c>
      <c r="C1139" s="12"/>
      <c r="D1139" s="13">
        <f>IFERROR(__xludf.DUMMYFUNCTION("""COMPUTED_VALUE"""),45435.0)</f>
        <v>45435</v>
      </c>
      <c r="E1139" s="13">
        <f>IFERROR(__xludf.DUMMYFUNCTION("""COMPUTED_VALUE"""),45799.0)</f>
        <v>45799</v>
      </c>
      <c r="F1139" s="13">
        <f>IFERROR(__xludf.DUMMYFUNCTION("""COMPUTED_VALUE"""),45799.0)</f>
        <v>45799</v>
      </c>
      <c r="G1139" s="16" t="s">
        <v>5150</v>
      </c>
      <c r="H1139" s="16" t="s">
        <v>5150</v>
      </c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>
      <c r="A1140" s="11" t="str">
        <f>IFERROR(__xludf.DUMMYFUNCTION("""COMPUTED_VALUE"""),"Proto Labs Inc  Com")</f>
        <v>Proto Labs Inc  Com</v>
      </c>
      <c r="B1140" s="12" t="str">
        <f>IFERROR(__xludf.DUMMYFUNCTION("""COMPUTED_VALUE"""),"PRLB-US")</f>
        <v>PRLB-US</v>
      </c>
      <c r="C1140" s="12"/>
      <c r="D1140" s="13">
        <f>IFERROR(__xludf.DUMMYFUNCTION("""COMPUTED_VALUE"""),45435.0)</f>
        <v>45435</v>
      </c>
      <c r="E1140" s="13">
        <f>IFERROR(__xludf.DUMMYFUNCTION("""COMPUTED_VALUE"""),45797.0)</f>
        <v>45797</v>
      </c>
      <c r="F1140" s="13">
        <f>IFERROR(__xludf.DUMMYFUNCTION("""COMPUTED_VALUE"""),45797.0)</f>
        <v>45797</v>
      </c>
      <c r="G1140" s="16" t="s">
        <v>5150</v>
      </c>
      <c r="H1140" s="16" t="s">
        <v>5150</v>
      </c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>
      <c r="A1141" s="11" t="str">
        <f>IFERROR(__xludf.DUMMYFUNCTION("""COMPUTED_VALUE"""),"Brandywine Realty Trust  Sbi")</f>
        <v>Brandywine Realty Trust  Sbi</v>
      </c>
      <c r="B1141" s="12" t="str">
        <f>IFERROR(__xludf.DUMMYFUNCTION("""COMPUTED_VALUE"""),"BDN-US")</f>
        <v>BDN-US</v>
      </c>
      <c r="C1141" s="12"/>
      <c r="D1141" s="13">
        <f>IFERROR(__xludf.DUMMYFUNCTION("""COMPUTED_VALUE"""),45435.0)</f>
        <v>45435</v>
      </c>
      <c r="E1141" s="13">
        <f>IFERROR(__xludf.DUMMYFUNCTION("""COMPUTED_VALUE"""),45798.0)</f>
        <v>45798</v>
      </c>
      <c r="F1141" s="13">
        <f>IFERROR(__xludf.DUMMYFUNCTION("""COMPUTED_VALUE"""),45798.0)</f>
        <v>45798</v>
      </c>
      <c r="G1141" s="16" t="s">
        <v>5150</v>
      </c>
      <c r="H1141" s="16" t="s">
        <v>5150</v>
      </c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>
      <c r="A1142" s="11" t="str">
        <f>IFERROR(__xludf.DUMMYFUNCTION("""COMPUTED_VALUE"""),"Vital Energy Inc  Com")</f>
        <v>Vital Energy Inc  Com</v>
      </c>
      <c r="B1142" s="12" t="str">
        <f>IFERROR(__xludf.DUMMYFUNCTION("""COMPUTED_VALUE"""),"VTLE-US")</f>
        <v>VTLE-US</v>
      </c>
      <c r="C1142" s="12"/>
      <c r="D1142" s="13">
        <f>IFERROR(__xludf.DUMMYFUNCTION("""COMPUTED_VALUE"""),45435.0)</f>
        <v>45435</v>
      </c>
      <c r="E1142" s="13">
        <f>IFERROR(__xludf.DUMMYFUNCTION("""COMPUTED_VALUE"""),45799.0)</f>
        <v>45799</v>
      </c>
      <c r="F1142" s="13">
        <f>IFERROR(__xludf.DUMMYFUNCTION("""COMPUTED_VALUE"""),45799.0)</f>
        <v>45799</v>
      </c>
      <c r="G1142" s="16" t="s">
        <v>5150</v>
      </c>
      <c r="H1142" s="16" t="s">
        <v>5150</v>
      </c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>
      <c r="A1143" s="11" t="str">
        <f>IFERROR(__xludf.DUMMYFUNCTION("""COMPUTED_VALUE"""),"Caleres Inc  Com")</f>
        <v>Caleres Inc  Com</v>
      </c>
      <c r="B1143" s="12" t="str">
        <f>IFERROR(__xludf.DUMMYFUNCTION("""COMPUTED_VALUE"""),"CAL-US")</f>
        <v>CAL-US</v>
      </c>
      <c r="C1143" s="12"/>
      <c r="D1143" s="13">
        <f>IFERROR(__xludf.DUMMYFUNCTION("""COMPUTED_VALUE"""),45435.0)</f>
        <v>45435</v>
      </c>
      <c r="E1143" s="13">
        <f>IFERROR(__xludf.DUMMYFUNCTION("""COMPUTED_VALUE"""),45799.0)</f>
        <v>45799</v>
      </c>
      <c r="F1143" s="13">
        <f>IFERROR(__xludf.DUMMYFUNCTION("""COMPUTED_VALUE"""),45799.0)</f>
        <v>45799</v>
      </c>
      <c r="G1143" s="16" t="s">
        <v>5150</v>
      </c>
      <c r="H1143" s="16" t="s">
        <v>5150</v>
      </c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>
      <c r="A1144" s="11" t="str">
        <f>IFERROR(__xludf.DUMMYFUNCTION("""COMPUTED_VALUE"""),"Day One Biopharmaceuticals Inc  Com")</f>
        <v>Day One Biopharmaceuticals Inc  Com</v>
      </c>
      <c r="B1144" s="12" t="str">
        <f>IFERROR(__xludf.DUMMYFUNCTION("""COMPUTED_VALUE"""),"DAWN-US")</f>
        <v>DAWN-US</v>
      </c>
      <c r="C1144" s="12"/>
      <c r="D1144" s="13">
        <f>IFERROR(__xludf.DUMMYFUNCTION("""COMPUTED_VALUE"""),45435.0)</f>
        <v>45435</v>
      </c>
      <c r="E1144" s="13">
        <f>IFERROR(__xludf.DUMMYFUNCTION("""COMPUTED_VALUE"""),45810.0)</f>
        <v>45810</v>
      </c>
      <c r="F1144" s="13">
        <f>IFERROR(__xludf.DUMMYFUNCTION("""COMPUTED_VALUE"""),45810.0)</f>
        <v>45810</v>
      </c>
      <c r="G1144" s="16" t="s">
        <v>5150</v>
      </c>
      <c r="H1144" s="16" t="s">
        <v>5150</v>
      </c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>
      <c r="A1145" s="11" t="str">
        <f>IFERROR(__xludf.DUMMYFUNCTION("""COMPUTED_VALUE"""),"Pennant Group Inc  Com")</f>
        <v>Pennant Group Inc  Com</v>
      </c>
      <c r="B1145" s="12" t="str">
        <f>IFERROR(__xludf.DUMMYFUNCTION("""COMPUTED_VALUE"""),"PNTG-US")</f>
        <v>PNTG-US</v>
      </c>
      <c r="C1145" s="12"/>
      <c r="D1145" s="13">
        <f>IFERROR(__xludf.DUMMYFUNCTION("""COMPUTED_VALUE"""),45435.0)</f>
        <v>45435</v>
      </c>
      <c r="E1145" s="13">
        <f>IFERROR(__xludf.DUMMYFUNCTION("""COMPUTED_VALUE"""),45793.0)</f>
        <v>45793</v>
      </c>
      <c r="F1145" s="13">
        <f>IFERROR(__xludf.DUMMYFUNCTION("""COMPUTED_VALUE"""),45793.0)</f>
        <v>45793</v>
      </c>
      <c r="G1145" s="16" t="s">
        <v>5150</v>
      </c>
      <c r="H1145" s="16" t="s">
        <v>5150</v>
      </c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>
      <c r="A1146" s="11" t="str">
        <f>IFERROR(__xludf.DUMMYFUNCTION("""COMPUTED_VALUE"""),"Sunopta Inc  Com")</f>
        <v>Sunopta Inc  Com</v>
      </c>
      <c r="B1146" s="12" t="str">
        <f>IFERROR(__xludf.DUMMYFUNCTION("""COMPUTED_VALUE"""),"STKL-US")</f>
        <v>STKL-US</v>
      </c>
      <c r="C1146" s="12"/>
      <c r="D1146" s="13">
        <f>IFERROR(__xludf.DUMMYFUNCTION("""COMPUTED_VALUE"""),45435.0)</f>
        <v>45435</v>
      </c>
      <c r="E1146" s="13">
        <f>IFERROR(__xludf.DUMMYFUNCTION("""COMPUTED_VALUE"""),45799.0)</f>
        <v>45799</v>
      </c>
      <c r="F1146" s="13">
        <f>IFERROR(__xludf.DUMMYFUNCTION("""COMPUTED_VALUE"""),45799.0)</f>
        <v>45799</v>
      </c>
      <c r="G1146" s="16" t="s">
        <v>5150</v>
      </c>
      <c r="H1146" s="16" t="s">
        <v>5150</v>
      </c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>
      <c r="A1147" s="11" t="str">
        <f>IFERROR(__xludf.DUMMYFUNCTION("""COMPUTED_VALUE"""),"Mercantile Bank Corp  Com")</f>
        <v>Mercantile Bank Corp  Com</v>
      </c>
      <c r="B1147" s="12" t="str">
        <f>IFERROR(__xludf.DUMMYFUNCTION("""COMPUTED_VALUE"""),"MBWM-US")</f>
        <v>MBWM-US</v>
      </c>
      <c r="C1147" s="12"/>
      <c r="D1147" s="13">
        <f>IFERROR(__xludf.DUMMYFUNCTION("""COMPUTED_VALUE"""),45435.0)</f>
        <v>45435</v>
      </c>
      <c r="E1147" s="13">
        <f>IFERROR(__xludf.DUMMYFUNCTION("""COMPUTED_VALUE"""),45799.0)</f>
        <v>45799</v>
      </c>
      <c r="F1147" s="13">
        <f>IFERROR(__xludf.DUMMYFUNCTION("""COMPUTED_VALUE"""),45799.0)</f>
        <v>45799</v>
      </c>
      <c r="G1147" s="16" t="s">
        <v>5150</v>
      </c>
      <c r="H1147" s="16" t="s">
        <v>5150</v>
      </c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>
      <c r="A1148" s="11" t="str">
        <f>IFERROR(__xludf.DUMMYFUNCTION("""COMPUTED_VALUE"""),"Smartfinancial Inc  Com")</f>
        <v>Smartfinancial Inc  Com</v>
      </c>
      <c r="B1148" s="12" t="str">
        <f>IFERROR(__xludf.DUMMYFUNCTION("""COMPUTED_VALUE"""),"SMBK-US")</f>
        <v>SMBK-US</v>
      </c>
      <c r="C1148" s="12"/>
      <c r="D1148" s="13">
        <f>IFERROR(__xludf.DUMMYFUNCTION("""COMPUTED_VALUE"""),45435.0)</f>
        <v>45435</v>
      </c>
      <c r="E1148" s="13">
        <f>IFERROR(__xludf.DUMMYFUNCTION("""COMPUTED_VALUE"""),45799.0)</f>
        <v>45799</v>
      </c>
      <c r="F1148" s="13">
        <f>IFERROR(__xludf.DUMMYFUNCTION("""COMPUTED_VALUE"""),45799.0)</f>
        <v>45799</v>
      </c>
      <c r="G1148" s="16" t="s">
        <v>5150</v>
      </c>
      <c r="H1148" s="16" t="s">
        <v>5150</v>
      </c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>
      <c r="A1149" s="11" t="str">
        <f>IFERROR(__xludf.DUMMYFUNCTION("""COMPUTED_VALUE"""),"Heidrick &amp; Struggles Intl  Com")</f>
        <v>Heidrick &amp; Struggles Intl  Com</v>
      </c>
      <c r="B1149" s="12" t="str">
        <f>IFERROR(__xludf.DUMMYFUNCTION("""COMPUTED_VALUE"""),"HSII-US")</f>
        <v>HSII-US</v>
      </c>
      <c r="C1149" s="12"/>
      <c r="D1149" s="13">
        <f>IFERROR(__xludf.DUMMYFUNCTION("""COMPUTED_VALUE"""),45435.0)</f>
        <v>45435</v>
      </c>
      <c r="E1149" s="13">
        <f>IFERROR(__xludf.DUMMYFUNCTION("""COMPUTED_VALUE"""),45799.0)</f>
        <v>45799</v>
      </c>
      <c r="F1149" s="13">
        <f>IFERROR(__xludf.DUMMYFUNCTION("""COMPUTED_VALUE"""),45799.0)</f>
        <v>45799</v>
      </c>
      <c r="G1149" s="16" t="s">
        <v>5150</v>
      </c>
      <c r="H1149" s="16" t="s">
        <v>5150</v>
      </c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>
      <c r="A1150" s="11" t="str">
        <f>IFERROR(__xludf.DUMMYFUNCTION("""COMPUTED_VALUE"""),"Northrim Bancorp Inc  Com")</f>
        <v>Northrim Bancorp Inc  Com</v>
      </c>
      <c r="B1150" s="12" t="str">
        <f>IFERROR(__xludf.DUMMYFUNCTION("""COMPUTED_VALUE"""),"NRIM-US")</f>
        <v>NRIM-US</v>
      </c>
      <c r="C1150" s="12"/>
      <c r="D1150" s="13">
        <f>IFERROR(__xludf.DUMMYFUNCTION("""COMPUTED_VALUE"""),45435.0)</f>
        <v>45435</v>
      </c>
      <c r="E1150" s="13">
        <f>IFERROR(__xludf.DUMMYFUNCTION("""COMPUTED_VALUE"""),45799.0)</f>
        <v>45799</v>
      </c>
      <c r="F1150" s="13">
        <f>IFERROR(__xludf.DUMMYFUNCTION("""COMPUTED_VALUE"""),45799.0)</f>
        <v>45799</v>
      </c>
      <c r="G1150" s="16" t="s">
        <v>5150</v>
      </c>
      <c r="H1150" s="16" t="s">
        <v>5150</v>
      </c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>
      <c r="A1151" s="11" t="str">
        <f>IFERROR(__xludf.DUMMYFUNCTION("""COMPUTED_VALUE"""),"Maravai Lifesciences Holdings  Cl A")</f>
        <v>Maravai Lifesciences Holdings  Cl A</v>
      </c>
      <c r="B1151" s="12" t="str">
        <f>IFERROR(__xludf.DUMMYFUNCTION("""COMPUTED_VALUE"""),"MRVI-US")</f>
        <v>MRVI-US</v>
      </c>
      <c r="C1151" s="12"/>
      <c r="D1151" s="13">
        <f>IFERROR(__xludf.DUMMYFUNCTION("""COMPUTED_VALUE"""),45435.0)</f>
        <v>45435</v>
      </c>
      <c r="E1151" s="13">
        <f>IFERROR(__xludf.DUMMYFUNCTION("""COMPUTED_VALUE"""),45799.0)</f>
        <v>45799</v>
      </c>
      <c r="F1151" s="13">
        <f>IFERROR(__xludf.DUMMYFUNCTION("""COMPUTED_VALUE"""),45799.0)</f>
        <v>45799</v>
      </c>
      <c r="G1151" s="16" t="s">
        <v>5150</v>
      </c>
      <c r="H1151" s="16" t="s">
        <v>5150</v>
      </c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>
      <c r="A1152" s="11" t="str">
        <f>IFERROR(__xludf.DUMMYFUNCTION("""COMPUTED_VALUE"""),"Dianthus Therapeutics Inc  Com")</f>
        <v>Dianthus Therapeutics Inc  Com</v>
      </c>
      <c r="B1152" s="12" t="str">
        <f>IFERROR(__xludf.DUMMYFUNCTION("""COMPUTED_VALUE"""),"DNTH-US")</f>
        <v>DNTH-US</v>
      </c>
      <c r="C1152" s="12"/>
      <c r="D1152" s="13">
        <f>IFERROR(__xludf.DUMMYFUNCTION("""COMPUTED_VALUE"""),45435.0)</f>
        <v>45435</v>
      </c>
      <c r="E1152" s="13">
        <f>IFERROR(__xludf.DUMMYFUNCTION("""COMPUTED_VALUE"""),45799.0)</f>
        <v>45799</v>
      </c>
      <c r="F1152" s="13">
        <f>IFERROR(__xludf.DUMMYFUNCTION("""COMPUTED_VALUE"""),45799.0)</f>
        <v>45799</v>
      </c>
      <c r="G1152" s="16" t="s">
        <v>5150</v>
      </c>
      <c r="H1152" s="16" t="s">
        <v>5150</v>
      </c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>
      <c r="A1153" s="11" t="str">
        <f>IFERROR(__xludf.DUMMYFUNCTION("""COMPUTED_VALUE"""),"Northeast Community Bancorp Inc  Com")</f>
        <v>Northeast Community Bancorp Inc  Com</v>
      </c>
      <c r="B1153" s="12" t="str">
        <f>IFERROR(__xludf.DUMMYFUNCTION("""COMPUTED_VALUE"""),"NECB-US")</f>
        <v>NECB-US</v>
      </c>
      <c r="C1153" s="12"/>
      <c r="D1153" s="13">
        <f>IFERROR(__xludf.DUMMYFUNCTION("""COMPUTED_VALUE"""),45435.0)</f>
        <v>45435</v>
      </c>
      <c r="E1153" s="13">
        <f>IFERROR(__xludf.DUMMYFUNCTION("""COMPUTED_VALUE"""),45799.0)</f>
        <v>45799</v>
      </c>
      <c r="F1153" s="13">
        <f>IFERROR(__xludf.DUMMYFUNCTION("""COMPUTED_VALUE"""),45799.0)</f>
        <v>45799</v>
      </c>
      <c r="G1153" s="16" t="s">
        <v>5150</v>
      </c>
      <c r="H1153" s="16" t="s">
        <v>5150</v>
      </c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>
      <c r="A1154" s="11" t="str">
        <f>IFERROR(__xludf.DUMMYFUNCTION("""COMPUTED_VALUE"""),"Golden Entertainment Inc  Com")</f>
        <v>Golden Entertainment Inc  Com</v>
      </c>
      <c r="B1154" s="12" t="str">
        <f>IFERROR(__xludf.DUMMYFUNCTION("""COMPUTED_VALUE"""),"GDEN-US")</f>
        <v>GDEN-US</v>
      </c>
      <c r="C1154" s="12"/>
      <c r="D1154" s="13">
        <f>IFERROR(__xludf.DUMMYFUNCTION("""COMPUTED_VALUE"""),45435.0)</f>
        <v>45435</v>
      </c>
      <c r="E1154" s="13">
        <f>IFERROR(__xludf.DUMMYFUNCTION("""COMPUTED_VALUE"""),45799.0)</f>
        <v>45799</v>
      </c>
      <c r="F1154" s="13">
        <f>IFERROR(__xludf.DUMMYFUNCTION("""COMPUTED_VALUE"""),45799.0)</f>
        <v>45799</v>
      </c>
      <c r="G1154" s="16" t="s">
        <v>5150</v>
      </c>
      <c r="H1154" s="16" t="s">
        <v>5150</v>
      </c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>
      <c r="A1155" s="11" t="str">
        <f>IFERROR(__xludf.DUMMYFUNCTION("""COMPUTED_VALUE"""),"Business First Bancshares Inc  Com")</f>
        <v>Business First Bancshares Inc  Com</v>
      </c>
      <c r="B1155" s="12" t="str">
        <f>IFERROR(__xludf.DUMMYFUNCTION("""COMPUTED_VALUE"""),"BFST-US")</f>
        <v>BFST-US</v>
      </c>
      <c r="C1155" s="12"/>
      <c r="D1155" s="13">
        <f>IFERROR(__xludf.DUMMYFUNCTION("""COMPUTED_VALUE"""),45435.0)</f>
        <v>45435</v>
      </c>
      <c r="E1155" s="13">
        <f>IFERROR(__xludf.DUMMYFUNCTION("""COMPUTED_VALUE"""),45799.0)</f>
        <v>45799</v>
      </c>
      <c r="F1155" s="13">
        <f>IFERROR(__xludf.DUMMYFUNCTION("""COMPUTED_VALUE"""),45799.0)</f>
        <v>45799</v>
      </c>
      <c r="G1155" s="16" t="s">
        <v>5150</v>
      </c>
      <c r="H1155" s="16" t="s">
        <v>5150</v>
      </c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>
      <c r="A1156" s="11" t="str">
        <f>IFERROR(__xludf.DUMMYFUNCTION("""COMPUTED_VALUE"""),"Castle Biosciences Inc  Com")</f>
        <v>Castle Biosciences Inc  Com</v>
      </c>
      <c r="B1156" s="12" t="str">
        <f>IFERROR(__xludf.DUMMYFUNCTION("""COMPUTED_VALUE"""),"CSTL-US")</f>
        <v>CSTL-US</v>
      </c>
      <c r="C1156" s="12"/>
      <c r="D1156" s="13">
        <f>IFERROR(__xludf.DUMMYFUNCTION("""COMPUTED_VALUE"""),45435.0)</f>
        <v>45435</v>
      </c>
      <c r="E1156" s="13">
        <f>IFERROR(__xludf.DUMMYFUNCTION("""COMPUTED_VALUE"""),45799.0)</f>
        <v>45799</v>
      </c>
      <c r="F1156" s="13">
        <f>IFERROR(__xludf.DUMMYFUNCTION("""COMPUTED_VALUE"""),45799.0)</f>
        <v>45799</v>
      </c>
      <c r="G1156" s="16" t="s">
        <v>5150</v>
      </c>
      <c r="H1156" s="16" t="s">
        <v>5150</v>
      </c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>
      <c r="A1157" s="11" t="str">
        <f>IFERROR(__xludf.DUMMYFUNCTION("""COMPUTED_VALUE"""),"Heritage Commerce Corp  Com")</f>
        <v>Heritage Commerce Corp  Com</v>
      </c>
      <c r="B1157" s="12" t="str">
        <f>IFERROR(__xludf.DUMMYFUNCTION("""COMPUTED_VALUE"""),"HTBK-US")</f>
        <v>HTBK-US</v>
      </c>
      <c r="C1157" s="12"/>
      <c r="D1157" s="13">
        <f>IFERROR(__xludf.DUMMYFUNCTION("""COMPUTED_VALUE"""),45435.0)</f>
        <v>45435</v>
      </c>
      <c r="E1157" s="13">
        <f>IFERROR(__xludf.DUMMYFUNCTION("""COMPUTED_VALUE"""),45799.0)</f>
        <v>45799</v>
      </c>
      <c r="F1157" s="13">
        <f>IFERROR(__xludf.DUMMYFUNCTION("""COMPUTED_VALUE"""),45799.0)</f>
        <v>45799</v>
      </c>
      <c r="G1157" s="16" t="s">
        <v>5150</v>
      </c>
      <c r="H1157" s="16" t="s">
        <v>5150</v>
      </c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>
      <c r="A1158" s="11" t="str">
        <f>IFERROR(__xludf.DUMMYFUNCTION("""COMPUTED_VALUE"""),"Lsb Industries Inc  Com")</f>
        <v>Lsb Industries Inc  Com</v>
      </c>
      <c r="B1158" s="12" t="str">
        <f>IFERROR(__xludf.DUMMYFUNCTION("""COMPUTED_VALUE"""),"LXU-US")</f>
        <v>LXU-US</v>
      </c>
      <c r="C1158" s="12"/>
      <c r="D1158" s="13">
        <f>IFERROR(__xludf.DUMMYFUNCTION("""COMPUTED_VALUE"""),45435.0)</f>
        <v>45435</v>
      </c>
      <c r="E1158" s="13">
        <f>IFERROR(__xludf.DUMMYFUNCTION("""COMPUTED_VALUE"""),45792.0)</f>
        <v>45792</v>
      </c>
      <c r="F1158" s="13">
        <f>IFERROR(__xludf.DUMMYFUNCTION("""COMPUTED_VALUE"""),45792.0)</f>
        <v>45792</v>
      </c>
      <c r="G1158" s="16" t="s">
        <v>5150</v>
      </c>
      <c r="H1158" s="16" t="s">
        <v>5150</v>
      </c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>
      <c r="A1159" s="11" t="str">
        <f>IFERROR(__xludf.DUMMYFUNCTION("""COMPUTED_VALUE"""),"Marcus Corp  Com")</f>
        <v>Marcus Corp  Com</v>
      </c>
      <c r="B1159" s="12" t="str">
        <f>IFERROR(__xludf.DUMMYFUNCTION("""COMPUTED_VALUE"""),"MCS-US")</f>
        <v>MCS-US</v>
      </c>
      <c r="C1159" s="12"/>
      <c r="D1159" s="13">
        <f>IFERROR(__xludf.DUMMYFUNCTION("""COMPUTED_VALUE"""),45435.0)</f>
        <v>45435</v>
      </c>
      <c r="E1159" s="13">
        <f>IFERROR(__xludf.DUMMYFUNCTION("""COMPUTED_VALUE"""),45784.0)</f>
        <v>45784</v>
      </c>
      <c r="F1159" s="13">
        <f>IFERROR(__xludf.DUMMYFUNCTION("""COMPUTED_VALUE"""),45784.0)</f>
        <v>45784</v>
      </c>
      <c r="G1159" s="16" t="s">
        <v>5150</v>
      </c>
      <c r="H1159" s="16" t="s">
        <v>5150</v>
      </c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>
      <c r="A1160" s="11" t="str">
        <f>IFERROR(__xludf.DUMMYFUNCTION("""COMPUTED_VALUE"""),"Mgp Ingredients Inc  Com")</f>
        <v>Mgp Ingredients Inc  Com</v>
      </c>
      <c r="B1160" s="12" t="str">
        <f>IFERROR(__xludf.DUMMYFUNCTION("""COMPUTED_VALUE"""),"MGPI-US")</f>
        <v>MGPI-US</v>
      </c>
      <c r="C1160" s="12"/>
      <c r="D1160" s="13">
        <f>IFERROR(__xludf.DUMMYFUNCTION("""COMPUTED_VALUE"""),45435.0)</f>
        <v>45435</v>
      </c>
      <c r="E1160" s="13">
        <f>IFERROR(__xludf.DUMMYFUNCTION("""COMPUTED_VALUE"""),45797.0)</f>
        <v>45797</v>
      </c>
      <c r="F1160" s="13">
        <f>IFERROR(__xludf.DUMMYFUNCTION("""COMPUTED_VALUE"""),45797.0)</f>
        <v>45797</v>
      </c>
      <c r="G1160" s="16" t="s">
        <v>5150</v>
      </c>
      <c r="H1160" s="16" t="s">
        <v>5150</v>
      </c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>
      <c r="A1161" s="11" t="str">
        <f>IFERROR(__xludf.DUMMYFUNCTION("""COMPUTED_VALUE"""),"Bandwidth Inc  Cl A")</f>
        <v>Bandwidth Inc  Cl A</v>
      </c>
      <c r="B1161" s="12" t="str">
        <f>IFERROR(__xludf.DUMMYFUNCTION("""COMPUTED_VALUE"""),"BAND-US")</f>
        <v>BAND-US</v>
      </c>
      <c r="C1161" s="12"/>
      <c r="D1161" s="13">
        <f>IFERROR(__xludf.DUMMYFUNCTION("""COMPUTED_VALUE"""),45435.0)</f>
        <v>45435</v>
      </c>
      <c r="E1161" s="13">
        <f>IFERROR(__xludf.DUMMYFUNCTION("""COMPUTED_VALUE"""),45806.0)</f>
        <v>45806</v>
      </c>
      <c r="F1161" s="13">
        <f>IFERROR(__xludf.DUMMYFUNCTION("""COMPUTED_VALUE"""),45806.0)</f>
        <v>45806</v>
      </c>
      <c r="G1161" s="16"/>
      <c r="H1161" s="16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>
      <c r="A1162" s="11" t="str">
        <f>IFERROR(__xludf.DUMMYFUNCTION("""COMPUTED_VALUE"""),"Mister Car Wash Inc  Com")</f>
        <v>Mister Car Wash Inc  Com</v>
      </c>
      <c r="B1162" s="12" t="str">
        <f>IFERROR(__xludf.DUMMYFUNCTION("""COMPUTED_VALUE"""),"MCW-US")</f>
        <v>MCW-US</v>
      </c>
      <c r="C1162" s="12"/>
      <c r="D1162" s="13">
        <f>IFERROR(__xludf.DUMMYFUNCTION("""COMPUTED_VALUE"""),45435.0)</f>
        <v>45435</v>
      </c>
      <c r="E1162" s="13">
        <f>IFERROR(__xludf.DUMMYFUNCTION("""COMPUTED_VALUE"""),45799.0)</f>
        <v>45799</v>
      </c>
      <c r="F1162" s="13">
        <f>IFERROR(__xludf.DUMMYFUNCTION("""COMPUTED_VALUE"""),45799.0)</f>
        <v>45799</v>
      </c>
      <c r="G1162" s="16"/>
      <c r="H1162" s="16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>
      <c r="A1163" s="11" t="str">
        <f>IFERROR(__xludf.DUMMYFUNCTION("""COMPUTED_VALUE"""),"Esperion Therapeutics Inc  Com")</f>
        <v>Esperion Therapeutics Inc  Com</v>
      </c>
      <c r="B1163" s="12" t="str">
        <f>IFERROR(__xludf.DUMMYFUNCTION("""COMPUTED_VALUE"""),"ESPR-US")</f>
        <v>ESPR-US</v>
      </c>
      <c r="C1163" s="12"/>
      <c r="D1163" s="13">
        <f>IFERROR(__xludf.DUMMYFUNCTION("""COMPUTED_VALUE"""),45435.0)</f>
        <v>45435</v>
      </c>
      <c r="E1163" s="13">
        <f>IFERROR(__xludf.DUMMYFUNCTION("""COMPUTED_VALUE"""),45806.0)</f>
        <v>45806</v>
      </c>
      <c r="F1163" s="13">
        <f>IFERROR(__xludf.DUMMYFUNCTION("""COMPUTED_VALUE"""),45806.0)</f>
        <v>45806</v>
      </c>
      <c r="G1163" s="16"/>
      <c r="H1163" s="16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>
      <c r="A1164" s="11" t="str">
        <f>IFERROR(__xludf.DUMMYFUNCTION("""COMPUTED_VALUE"""),"Paysafe Ltd  Com")</f>
        <v>Paysafe Ltd  Com</v>
      </c>
      <c r="B1164" s="12" t="str">
        <f>IFERROR(__xludf.DUMMYFUNCTION("""COMPUTED_VALUE"""),"PSFE-US")</f>
        <v>PSFE-US</v>
      </c>
      <c r="C1164" s="12"/>
      <c r="D1164" s="13">
        <f>IFERROR(__xludf.DUMMYFUNCTION("""COMPUTED_VALUE"""),45435.0)</f>
        <v>45435</v>
      </c>
      <c r="E1164" s="13">
        <f>IFERROR(__xludf.DUMMYFUNCTION("""COMPUTED_VALUE"""),45799.0)</f>
        <v>45799</v>
      </c>
      <c r="F1164" s="13">
        <f>IFERROR(__xludf.DUMMYFUNCTION("""COMPUTED_VALUE"""),45799.0)</f>
        <v>45799</v>
      </c>
      <c r="G1164" s="16"/>
      <c r="H1164" s="16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>
      <c r="A1165" s="11" t="str">
        <f>IFERROR(__xludf.DUMMYFUNCTION("""COMPUTED_VALUE"""),"Distribution Solutions Group Inc Com")</f>
        <v>Distribution Solutions Group Inc Com</v>
      </c>
      <c r="B1165" s="12" t="str">
        <f>IFERROR(__xludf.DUMMYFUNCTION("""COMPUTED_VALUE"""),"DSGR-US")</f>
        <v>DSGR-US</v>
      </c>
      <c r="C1165" s="12"/>
      <c r="D1165" s="13">
        <f>IFERROR(__xludf.DUMMYFUNCTION("""COMPUTED_VALUE"""),45435.0)</f>
        <v>45435</v>
      </c>
      <c r="E1165" s="13">
        <f>IFERROR(__xludf.DUMMYFUNCTION("""COMPUTED_VALUE"""),45799.0)</f>
        <v>45799</v>
      </c>
      <c r="F1165" s="13">
        <f>IFERROR(__xludf.DUMMYFUNCTION("""COMPUTED_VALUE"""),45799.0)</f>
        <v>45799</v>
      </c>
      <c r="G1165" s="16"/>
      <c r="H1165" s="16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>
      <c r="A1166" s="11" t="str">
        <f>IFERROR(__xludf.DUMMYFUNCTION("""COMPUTED_VALUE"""),"Fs Bancorp Inc  Com")</f>
        <v>Fs Bancorp Inc  Com</v>
      </c>
      <c r="B1166" s="12" t="str">
        <f>IFERROR(__xludf.DUMMYFUNCTION("""COMPUTED_VALUE"""),"FSBW-US")</f>
        <v>FSBW-US</v>
      </c>
      <c r="C1166" s="12"/>
      <c r="D1166" s="13">
        <f>IFERROR(__xludf.DUMMYFUNCTION("""COMPUTED_VALUE"""),45435.0)</f>
        <v>45435</v>
      </c>
      <c r="E1166" s="13">
        <f>IFERROR(__xludf.DUMMYFUNCTION("""COMPUTED_VALUE"""),45799.0)</f>
        <v>45799</v>
      </c>
      <c r="F1166" s="13">
        <f>IFERROR(__xludf.DUMMYFUNCTION("""COMPUTED_VALUE"""),45799.0)</f>
        <v>45799</v>
      </c>
      <c r="G1166" s="16"/>
      <c r="H1166" s="16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>
      <c r="A1167" s="11" t="str">
        <f>IFERROR(__xludf.DUMMYFUNCTION("""COMPUTED_VALUE"""),"Truecar Inc  Com")</f>
        <v>Truecar Inc  Com</v>
      </c>
      <c r="B1167" s="12" t="str">
        <f>IFERROR(__xludf.DUMMYFUNCTION("""COMPUTED_VALUE"""),"TRUE-US")</f>
        <v>TRUE-US</v>
      </c>
      <c r="C1167" s="12"/>
      <c r="D1167" s="13">
        <f>IFERROR(__xludf.DUMMYFUNCTION("""COMPUTED_VALUE"""),45435.0)</f>
        <v>45435</v>
      </c>
      <c r="E1167" s="13">
        <f>IFERROR(__xludf.DUMMYFUNCTION("""COMPUTED_VALUE"""),45799.0)</f>
        <v>45799</v>
      </c>
      <c r="F1167" s="13">
        <f>IFERROR(__xludf.DUMMYFUNCTION("""COMPUTED_VALUE"""),45799.0)</f>
        <v>45799</v>
      </c>
      <c r="G1167" s="16"/>
      <c r="H1167" s="16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>
      <c r="A1168" s="11" t="str">
        <f>IFERROR(__xludf.DUMMYFUNCTION("""COMPUTED_VALUE"""),"Genco Shipping &amp; Trading Ltd  Com")</f>
        <v>Genco Shipping &amp; Trading Ltd  Com</v>
      </c>
      <c r="B1168" s="12" t="str">
        <f>IFERROR(__xludf.DUMMYFUNCTION("""COMPUTED_VALUE"""),"GNK-US")</f>
        <v>GNK-US</v>
      </c>
      <c r="C1168" s="12"/>
      <c r="D1168" s="13">
        <f>IFERROR(__xludf.DUMMYFUNCTION("""COMPUTED_VALUE"""),45435.0)</f>
        <v>45435</v>
      </c>
      <c r="E1168" s="13">
        <f>IFERROR(__xludf.DUMMYFUNCTION("""COMPUTED_VALUE"""),45797.0)</f>
        <v>45797</v>
      </c>
      <c r="F1168" s="13">
        <f>IFERROR(__xludf.DUMMYFUNCTION("""COMPUTED_VALUE"""),45797.0)</f>
        <v>45797</v>
      </c>
      <c r="G1168" s="16"/>
      <c r="H1168" s="16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>
      <c r="A1169" s="11" t="str">
        <f>IFERROR(__xludf.DUMMYFUNCTION("""COMPUTED_VALUE"""),"Ranpak Holdings Corp  Cl A")</f>
        <v>Ranpak Holdings Corp  Cl A</v>
      </c>
      <c r="B1169" s="12" t="str">
        <f>IFERROR(__xludf.DUMMYFUNCTION("""COMPUTED_VALUE"""),"PACK-US")</f>
        <v>PACK-US</v>
      </c>
      <c r="C1169" s="12"/>
      <c r="D1169" s="13">
        <f>IFERROR(__xludf.DUMMYFUNCTION("""COMPUTED_VALUE"""),45435.0)</f>
        <v>45435</v>
      </c>
      <c r="E1169" s="13">
        <f>IFERROR(__xludf.DUMMYFUNCTION("""COMPUTED_VALUE"""),45799.0)</f>
        <v>45799</v>
      </c>
      <c r="F1169" s="13">
        <f>IFERROR(__xludf.DUMMYFUNCTION("""COMPUTED_VALUE"""),45799.0)</f>
        <v>45799</v>
      </c>
      <c r="G1169" s="16"/>
      <c r="H1169" s="16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>
      <c r="A1170" s="11" t="str">
        <f>IFERROR(__xludf.DUMMYFUNCTION("""COMPUTED_VALUE"""),"B&amp;G Foods Inc  Cl A")</f>
        <v>B&amp;G Foods Inc  Cl A</v>
      </c>
      <c r="B1170" s="12" t="str">
        <f>IFERROR(__xludf.DUMMYFUNCTION("""COMPUTED_VALUE"""),"BGS-US")</f>
        <v>BGS-US</v>
      </c>
      <c r="C1170" s="12"/>
      <c r="D1170" s="13">
        <f>IFERROR(__xludf.DUMMYFUNCTION("""COMPUTED_VALUE"""),45435.0)</f>
        <v>45435</v>
      </c>
      <c r="E1170" s="13">
        <f>IFERROR(__xludf.DUMMYFUNCTION("""COMPUTED_VALUE"""),45792.0)</f>
        <v>45792</v>
      </c>
      <c r="F1170" s="13">
        <f>IFERROR(__xludf.DUMMYFUNCTION("""COMPUTED_VALUE"""),45792.0)</f>
        <v>45792</v>
      </c>
      <c r="G1170" s="16"/>
      <c r="H1170" s="16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>
      <c r="A1171" s="11" t="str">
        <f>IFERROR(__xludf.DUMMYFUNCTION("""COMPUTED_VALUE"""),"Alexanders Inc  Com")</f>
        <v>Alexanders Inc  Com</v>
      </c>
      <c r="B1171" s="12" t="str">
        <f>IFERROR(__xludf.DUMMYFUNCTION("""COMPUTED_VALUE"""),"ALX-US")</f>
        <v>ALX-US</v>
      </c>
      <c r="C1171" s="12"/>
      <c r="D1171" s="13">
        <f>IFERROR(__xludf.DUMMYFUNCTION("""COMPUTED_VALUE"""),45435.0)</f>
        <v>45435</v>
      </c>
      <c r="E1171" s="13">
        <f>IFERROR(__xludf.DUMMYFUNCTION("""COMPUTED_VALUE"""),45799.0)</f>
        <v>45799</v>
      </c>
      <c r="F1171" s="13">
        <f>IFERROR(__xludf.DUMMYFUNCTION("""COMPUTED_VALUE"""),45799.0)</f>
        <v>45799</v>
      </c>
      <c r="G1171" s="16"/>
      <c r="H1171" s="16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>
      <c r="A1172" s="11" t="str">
        <f>IFERROR(__xludf.DUMMYFUNCTION("""COMPUTED_VALUE"""),"Berry Corp  Com")</f>
        <v>Berry Corp  Com</v>
      </c>
      <c r="B1172" s="12" t="str">
        <f>IFERROR(__xludf.DUMMYFUNCTION("""COMPUTED_VALUE"""),"BRY-US")</f>
        <v>BRY-US</v>
      </c>
      <c r="C1172" s="12"/>
      <c r="D1172" s="13">
        <f>IFERROR(__xludf.DUMMYFUNCTION("""COMPUTED_VALUE"""),45435.0)</f>
        <v>45435</v>
      </c>
      <c r="E1172" s="13">
        <f>IFERROR(__xludf.DUMMYFUNCTION("""COMPUTED_VALUE"""),45797.0)</f>
        <v>45797</v>
      </c>
      <c r="F1172" s="13">
        <f>IFERROR(__xludf.DUMMYFUNCTION("""COMPUTED_VALUE"""),45797.0)</f>
        <v>45797</v>
      </c>
      <c r="G1172" s="16"/>
      <c r="H1172" s="16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>
      <c r="A1173" s="11" t="str">
        <f>IFERROR(__xludf.DUMMYFUNCTION("""COMPUTED_VALUE"""),"Target Hospitality Corp  Com")</f>
        <v>Target Hospitality Corp  Com</v>
      </c>
      <c r="B1173" s="12" t="str">
        <f>IFERROR(__xludf.DUMMYFUNCTION("""COMPUTED_VALUE"""),"TH-US")</f>
        <v>TH-US</v>
      </c>
      <c r="C1173" s="12"/>
      <c r="D1173" s="13">
        <f>IFERROR(__xludf.DUMMYFUNCTION("""COMPUTED_VALUE"""),45435.0)</f>
        <v>45435</v>
      </c>
      <c r="E1173" s="13">
        <f>IFERROR(__xludf.DUMMYFUNCTION("""COMPUTED_VALUE"""),45799.0)</f>
        <v>45799</v>
      </c>
      <c r="F1173" s="13">
        <f>IFERROR(__xludf.DUMMYFUNCTION("""COMPUTED_VALUE"""),45799.0)</f>
        <v>45799</v>
      </c>
      <c r="G1173" s="16"/>
      <c r="H1173" s="16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>
      <c r="A1174" s="11" t="str">
        <f>IFERROR(__xludf.DUMMYFUNCTION("""COMPUTED_VALUE"""),"Irobot Corp  Com")</f>
        <v>Irobot Corp  Com</v>
      </c>
      <c r="B1174" s="12" t="str">
        <f>IFERROR(__xludf.DUMMYFUNCTION("""COMPUTED_VALUE"""),"IRBT-US")</f>
        <v>IRBT-US</v>
      </c>
      <c r="C1174" s="12"/>
      <c r="D1174" s="13">
        <f>IFERROR(__xludf.DUMMYFUNCTION("""COMPUTED_VALUE"""),45435.0)</f>
        <v>45435</v>
      </c>
      <c r="E1174" s="13">
        <f>IFERROR(__xludf.DUMMYFUNCTION("""COMPUTED_VALUE"""),45793.0)</f>
        <v>45793</v>
      </c>
      <c r="F1174" s="13">
        <f>IFERROR(__xludf.DUMMYFUNCTION("""COMPUTED_VALUE"""),45793.0)</f>
        <v>45793</v>
      </c>
      <c r="G1174" s="16"/>
      <c r="H1174" s="16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>
      <c r="A1175" s="11" t="str">
        <f>IFERROR(__xludf.DUMMYFUNCTION("""COMPUTED_VALUE"""),"Frontier Group Holdings Inc  Com")</f>
        <v>Frontier Group Holdings Inc  Com</v>
      </c>
      <c r="B1175" s="12" t="str">
        <f>IFERROR(__xludf.DUMMYFUNCTION("""COMPUTED_VALUE"""),"ULCC-US")</f>
        <v>ULCC-US</v>
      </c>
      <c r="C1175" s="12"/>
      <c r="D1175" s="13">
        <f>IFERROR(__xludf.DUMMYFUNCTION("""COMPUTED_VALUE"""),45435.0)</f>
        <v>45435</v>
      </c>
      <c r="E1175" s="13">
        <f>IFERROR(__xludf.DUMMYFUNCTION("""COMPUTED_VALUE"""),45792.0)</f>
        <v>45792</v>
      </c>
      <c r="F1175" s="13">
        <f>IFERROR(__xludf.DUMMYFUNCTION("""COMPUTED_VALUE"""),45792.0)</f>
        <v>45792</v>
      </c>
      <c r="G1175" s="16"/>
      <c r="H1175" s="16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>
      <c r="A1176" s="11" t="str">
        <f>IFERROR(__xludf.DUMMYFUNCTION("""COMPUTED_VALUE"""),"Ring Energy Inc  Com")</f>
        <v>Ring Energy Inc  Com</v>
      </c>
      <c r="B1176" s="12" t="str">
        <f>IFERROR(__xludf.DUMMYFUNCTION("""COMPUTED_VALUE"""),"REI-US")</f>
        <v>REI-US</v>
      </c>
      <c r="C1176" s="12"/>
      <c r="D1176" s="13">
        <f>IFERROR(__xludf.DUMMYFUNCTION("""COMPUTED_VALUE"""),45435.0)</f>
        <v>45435</v>
      </c>
      <c r="E1176" s="13">
        <f>IFERROR(__xludf.DUMMYFUNCTION("""COMPUTED_VALUE"""),45799.0)</f>
        <v>45799</v>
      </c>
      <c r="F1176" s="13">
        <f>IFERROR(__xludf.DUMMYFUNCTION("""COMPUTED_VALUE"""),45799.0)</f>
        <v>45799</v>
      </c>
      <c r="G1176" s="16"/>
      <c r="H1176" s="16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>
      <c r="A1177" s="11" t="str">
        <f>IFERROR(__xludf.DUMMYFUNCTION("""COMPUTED_VALUE"""),"Phathom Pharmaceuticals Inc  Com")</f>
        <v>Phathom Pharmaceuticals Inc  Com</v>
      </c>
      <c r="B1177" s="12" t="str">
        <f>IFERROR(__xludf.DUMMYFUNCTION("""COMPUTED_VALUE"""),"PHAT-US")</f>
        <v>PHAT-US</v>
      </c>
      <c r="C1177" s="12"/>
      <c r="D1177" s="13">
        <f>IFERROR(__xludf.DUMMYFUNCTION("""COMPUTED_VALUE"""),45435.0)</f>
        <v>45435</v>
      </c>
      <c r="E1177" s="13">
        <f>IFERROR(__xludf.DUMMYFUNCTION("""COMPUTED_VALUE"""),45811.0)</f>
        <v>45811</v>
      </c>
      <c r="F1177" s="13">
        <f>IFERROR(__xludf.DUMMYFUNCTION("""COMPUTED_VALUE"""),45811.0)</f>
        <v>45811</v>
      </c>
      <c r="G1177" s="16"/>
      <c r="H1177" s="16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>
      <c r="A1178" s="11" t="str">
        <f>IFERROR(__xludf.DUMMYFUNCTION("""COMPUTED_VALUE"""),"Beyond Meat Inc  Com")</f>
        <v>Beyond Meat Inc  Com</v>
      </c>
      <c r="B1178" s="12" t="str">
        <f>IFERROR(__xludf.DUMMYFUNCTION("""COMPUTED_VALUE"""),"BYND-US")</f>
        <v>BYND-US</v>
      </c>
      <c r="C1178" s="12"/>
      <c r="D1178" s="13">
        <f>IFERROR(__xludf.DUMMYFUNCTION("""COMPUTED_VALUE"""),45435.0)</f>
        <v>45435</v>
      </c>
      <c r="E1178" s="13">
        <f>IFERROR(__xludf.DUMMYFUNCTION("""COMPUTED_VALUE"""),45797.0)</f>
        <v>45797</v>
      </c>
      <c r="F1178" s="13">
        <f>IFERROR(__xludf.DUMMYFUNCTION("""COMPUTED_VALUE"""),45797.0)</f>
        <v>45797</v>
      </c>
      <c r="G1178" s="16"/>
      <c r="H1178" s="16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>
      <c r="A1179" s="11" t="str">
        <f>IFERROR(__xludf.DUMMYFUNCTION("""COMPUTED_VALUE"""),"Re Max Holdings Inc  Cl A")</f>
        <v>Re Max Holdings Inc  Cl A</v>
      </c>
      <c r="B1179" s="12" t="str">
        <f>IFERROR(__xludf.DUMMYFUNCTION("""COMPUTED_VALUE"""),"RMAX-US")</f>
        <v>RMAX-US</v>
      </c>
      <c r="C1179" s="12"/>
      <c r="D1179" s="13">
        <f>IFERROR(__xludf.DUMMYFUNCTION("""COMPUTED_VALUE"""),45435.0)</f>
        <v>45435</v>
      </c>
      <c r="E1179" s="13">
        <f>IFERROR(__xludf.DUMMYFUNCTION("""COMPUTED_VALUE"""),45791.0)</f>
        <v>45791</v>
      </c>
      <c r="F1179" s="13">
        <f>IFERROR(__xludf.DUMMYFUNCTION("""COMPUTED_VALUE"""),45791.0)</f>
        <v>45791</v>
      </c>
      <c r="G1179" s="16"/>
      <c r="H1179" s="16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>
      <c r="A1180" s="11" t="str">
        <f>IFERROR(__xludf.DUMMYFUNCTION("""COMPUTED_VALUE"""),"Advanced Flower Capital Inc  Com")</f>
        <v>Advanced Flower Capital Inc  Com</v>
      </c>
      <c r="B1180" s="12" t="str">
        <f>IFERROR(__xludf.DUMMYFUNCTION("""COMPUTED_VALUE"""),"AFCG-US")</f>
        <v>AFCG-US</v>
      </c>
      <c r="C1180" s="12"/>
      <c r="D1180" s="13">
        <f>IFERROR(__xludf.DUMMYFUNCTION("""COMPUTED_VALUE"""),45435.0)</f>
        <v>45435</v>
      </c>
      <c r="E1180" s="13">
        <f>IFERROR(__xludf.DUMMYFUNCTION("""COMPUTED_VALUE"""),45796.0)</f>
        <v>45796</v>
      </c>
      <c r="F1180" s="13">
        <f>IFERROR(__xludf.DUMMYFUNCTION("""COMPUTED_VALUE"""),45796.0)</f>
        <v>45796</v>
      </c>
      <c r="G1180" s="16"/>
      <c r="H1180" s="16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>
      <c r="A1181" s="11" t="str">
        <f>IFERROR(__xludf.DUMMYFUNCTION("""COMPUTED_VALUE"""),"Thredup Inc  Cl A")</f>
        <v>Thredup Inc  Cl A</v>
      </c>
      <c r="B1181" s="12" t="str">
        <f>IFERROR(__xludf.DUMMYFUNCTION("""COMPUTED_VALUE"""),"TDUP-US")</f>
        <v>TDUP-US</v>
      </c>
      <c r="C1181" s="12"/>
      <c r="D1181" s="13">
        <f>IFERROR(__xludf.DUMMYFUNCTION("""COMPUTED_VALUE"""),45435.0)</f>
        <v>45435</v>
      </c>
      <c r="E1181" s="13">
        <f>IFERROR(__xludf.DUMMYFUNCTION("""COMPUTED_VALUE"""),45798.0)</f>
        <v>45798</v>
      </c>
      <c r="F1181" s="13">
        <f>IFERROR(__xludf.DUMMYFUNCTION("""COMPUTED_VALUE"""),45798.0)</f>
        <v>45798</v>
      </c>
      <c r="G1181" s="16"/>
      <c r="H1181" s="16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>
      <c r="A1182" s="11" t="str">
        <f>IFERROR(__xludf.DUMMYFUNCTION("""COMPUTED_VALUE"""),"Cardlytics Inc  Com")</f>
        <v>Cardlytics Inc  Com</v>
      </c>
      <c r="B1182" s="12" t="str">
        <f>IFERROR(__xludf.DUMMYFUNCTION("""COMPUTED_VALUE"""),"CDLX-US")</f>
        <v>CDLX-US</v>
      </c>
      <c r="C1182" s="12"/>
      <c r="D1182" s="13">
        <f>IFERROR(__xludf.DUMMYFUNCTION("""COMPUTED_VALUE"""),45435.0)</f>
        <v>45435</v>
      </c>
      <c r="E1182" s="13">
        <f>IFERROR(__xludf.DUMMYFUNCTION("""COMPUTED_VALUE"""),45797.0)</f>
        <v>45797</v>
      </c>
      <c r="F1182" s="13">
        <f>IFERROR(__xludf.DUMMYFUNCTION("""COMPUTED_VALUE"""),45797.0)</f>
        <v>45797</v>
      </c>
      <c r="G1182" s="16"/>
      <c r="H1182" s="16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>
      <c r="A1183" s="11" t="str">
        <f>IFERROR(__xludf.DUMMYFUNCTION("""COMPUTED_VALUE"""),"Amazon Com Inc  Com")</f>
        <v>Amazon Com Inc  Com</v>
      </c>
      <c r="B1183" s="12" t="str">
        <f>IFERROR(__xludf.DUMMYFUNCTION("""COMPUTED_VALUE"""),"AMZN-US")</f>
        <v>AMZN-US</v>
      </c>
      <c r="C1183" s="12"/>
      <c r="D1183" s="13">
        <f>IFERROR(__xludf.DUMMYFUNCTION("""COMPUTED_VALUE"""),45435.0)</f>
        <v>45435</v>
      </c>
      <c r="E1183" s="13">
        <f>IFERROR(__xludf.DUMMYFUNCTION("""COMPUTED_VALUE"""),45798.0)</f>
        <v>45798</v>
      </c>
      <c r="F1183" s="13">
        <f>IFERROR(__xludf.DUMMYFUNCTION("""COMPUTED_VALUE"""),45798.0)</f>
        <v>45798</v>
      </c>
      <c r="G1183" s="16"/>
      <c r="H1183" s="16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>
      <c r="A1184" s="11" t="str">
        <f>IFERROR(__xludf.DUMMYFUNCTION("""COMPUTED_VALUE"""),"Mcdonalds Corp  Com")</f>
        <v>Mcdonalds Corp  Com</v>
      </c>
      <c r="B1184" s="12" t="str">
        <f>IFERROR(__xludf.DUMMYFUNCTION("""COMPUTED_VALUE"""),"MCD-US")</f>
        <v>MCD-US</v>
      </c>
      <c r="C1184" s="12"/>
      <c r="D1184" s="13">
        <f>IFERROR(__xludf.DUMMYFUNCTION("""COMPUTED_VALUE"""),45435.0)</f>
        <v>45435</v>
      </c>
      <c r="E1184" s="13">
        <f>IFERROR(__xludf.DUMMYFUNCTION("""COMPUTED_VALUE"""),45797.0)</f>
        <v>45797</v>
      </c>
      <c r="F1184" s="13">
        <f>IFERROR(__xludf.DUMMYFUNCTION("""COMPUTED_VALUE"""),45797.0)</f>
        <v>45797</v>
      </c>
      <c r="G1184" s="16"/>
      <c r="H1184" s="16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>
      <c r="A1185" s="11" t="str">
        <f>IFERROR(__xludf.DUMMYFUNCTION("""COMPUTED_VALUE"""),"Thermo Fisher Scientific Inc  Com")</f>
        <v>Thermo Fisher Scientific Inc  Com</v>
      </c>
      <c r="B1185" s="12" t="str">
        <f>IFERROR(__xludf.DUMMYFUNCTION("""COMPUTED_VALUE"""),"TMO-US")</f>
        <v>TMO-US</v>
      </c>
      <c r="C1185" s="12"/>
      <c r="D1185" s="13">
        <f>IFERROR(__xludf.DUMMYFUNCTION("""COMPUTED_VALUE"""),45435.0)</f>
        <v>45435</v>
      </c>
      <c r="E1185" s="13">
        <f>IFERROR(__xludf.DUMMYFUNCTION("""COMPUTED_VALUE"""),45798.0)</f>
        <v>45798</v>
      </c>
      <c r="F1185" s="13">
        <f>IFERROR(__xludf.DUMMYFUNCTION("""COMPUTED_VALUE"""),45798.0)</f>
        <v>45798</v>
      </c>
      <c r="G1185" s="16"/>
      <c r="H1185" s="16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>
      <c r="A1186" s="11" t="str">
        <f>IFERROR(__xludf.DUMMYFUNCTION("""COMPUTED_VALUE"""),"Paypal Holdings Inc  Com")</f>
        <v>Paypal Holdings Inc  Com</v>
      </c>
      <c r="B1186" s="12" t="str">
        <f>IFERROR(__xludf.DUMMYFUNCTION("""COMPUTED_VALUE"""),"PYPL-US")</f>
        <v>PYPL-US</v>
      </c>
      <c r="C1186" s="12"/>
      <c r="D1186" s="13">
        <f>IFERROR(__xludf.DUMMYFUNCTION("""COMPUTED_VALUE"""),45435.0)</f>
        <v>45435</v>
      </c>
      <c r="E1186" s="13">
        <f>IFERROR(__xludf.DUMMYFUNCTION("""COMPUTED_VALUE"""),45813.0)</f>
        <v>45813</v>
      </c>
      <c r="F1186" s="13">
        <f>IFERROR(__xludf.DUMMYFUNCTION("""COMPUTED_VALUE"""),45813.0)</f>
        <v>45813</v>
      </c>
      <c r="G1186" s="16"/>
      <c r="H1186" s="16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>
      <c r="A1187" s="11" t="str">
        <f>IFERROR(__xludf.DUMMYFUNCTION("""COMPUTED_VALUE"""),"Southern Co  Com")</f>
        <v>Southern Co  Com</v>
      </c>
      <c r="B1187" s="12" t="str">
        <f>IFERROR(__xludf.DUMMYFUNCTION("""COMPUTED_VALUE"""),"SO-US")</f>
        <v>SO-US</v>
      </c>
      <c r="C1187" s="12"/>
      <c r="D1187" s="13">
        <f>IFERROR(__xludf.DUMMYFUNCTION("""COMPUTED_VALUE"""),45435.0)</f>
        <v>45435</v>
      </c>
      <c r="E1187" s="13">
        <f>IFERROR(__xludf.DUMMYFUNCTION("""COMPUTED_VALUE"""),45798.0)</f>
        <v>45798</v>
      </c>
      <c r="F1187" s="13">
        <f>IFERROR(__xludf.DUMMYFUNCTION("""COMPUTED_VALUE"""),45798.0)</f>
        <v>45798</v>
      </c>
      <c r="G1187" s="16"/>
      <c r="H1187" s="16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>
      <c r="A1188" s="11" t="str">
        <f>IFERROR(__xludf.DUMMYFUNCTION("""COMPUTED_VALUE"""),"American Tower Corp  Cl A")</f>
        <v>American Tower Corp  Cl A</v>
      </c>
      <c r="B1188" s="12" t="str">
        <f>IFERROR(__xludf.DUMMYFUNCTION("""COMPUTED_VALUE"""),"AMT-US")</f>
        <v>AMT-US</v>
      </c>
      <c r="C1188" s="12"/>
      <c r="D1188" s="13">
        <f>IFERROR(__xludf.DUMMYFUNCTION("""COMPUTED_VALUE"""),45435.0)</f>
        <v>45435</v>
      </c>
      <c r="E1188" s="13">
        <f>IFERROR(__xludf.DUMMYFUNCTION("""COMPUTED_VALUE"""),45791.0)</f>
        <v>45791</v>
      </c>
      <c r="F1188" s="13">
        <f>IFERROR(__xludf.DUMMYFUNCTION("""COMPUTED_VALUE"""),45791.0)</f>
        <v>45791</v>
      </c>
      <c r="G1188" s="16"/>
      <c r="H1188" s="16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>
      <c r="A1189" s="11" t="str">
        <f>IFERROR(__xludf.DUMMYFUNCTION("""COMPUTED_VALUE"""),"Mondelez International Inc  Cl A")</f>
        <v>Mondelez International Inc  Cl A</v>
      </c>
      <c r="B1189" s="12" t="str">
        <f>IFERROR(__xludf.DUMMYFUNCTION("""COMPUTED_VALUE"""),"MDLZ-US")</f>
        <v>MDLZ-US</v>
      </c>
      <c r="C1189" s="12"/>
      <c r="D1189" s="13">
        <f>IFERROR(__xludf.DUMMYFUNCTION("""COMPUTED_VALUE"""),45435.0)</f>
        <v>45435</v>
      </c>
      <c r="E1189" s="13">
        <f>IFERROR(__xludf.DUMMYFUNCTION("""COMPUTED_VALUE"""),45798.0)</f>
        <v>45798</v>
      </c>
      <c r="F1189" s="13">
        <f>IFERROR(__xludf.DUMMYFUNCTION("""COMPUTED_VALUE"""),45798.0)</f>
        <v>45798</v>
      </c>
      <c r="G1189" s="16"/>
      <c r="H1189" s="16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>
      <c r="A1190" s="11" t="str">
        <f>IFERROR(__xludf.DUMMYFUNCTION("""COMPUTED_VALUE"""),"Zoetis Inc  Cl A")</f>
        <v>Zoetis Inc  Cl A</v>
      </c>
      <c r="B1190" s="12" t="str">
        <f>IFERROR(__xludf.DUMMYFUNCTION("""COMPUTED_VALUE"""),"ZTS-US")</f>
        <v>ZTS-US</v>
      </c>
      <c r="C1190" s="12"/>
      <c r="D1190" s="13">
        <f>IFERROR(__xludf.DUMMYFUNCTION("""COMPUTED_VALUE"""),45435.0)</f>
        <v>45435</v>
      </c>
      <c r="E1190" s="13">
        <f>IFERROR(__xludf.DUMMYFUNCTION("""COMPUTED_VALUE"""),45798.0)</f>
        <v>45798</v>
      </c>
      <c r="F1190" s="13">
        <f>IFERROR(__xludf.DUMMYFUNCTION("""COMPUTED_VALUE"""),45798.0)</f>
        <v>45798</v>
      </c>
      <c r="G1190" s="16"/>
      <c r="H1190" s="16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>
      <c r="A1191" s="11" t="str">
        <f>IFERROR(__xludf.DUMMYFUNCTION("""COMPUTED_VALUE"""),"Eog Resources Inc  Com")</f>
        <v>Eog Resources Inc  Com</v>
      </c>
      <c r="B1191" s="12" t="str">
        <f>IFERROR(__xludf.DUMMYFUNCTION("""COMPUTED_VALUE"""),"EOG-US")</f>
        <v>EOG-US</v>
      </c>
      <c r="C1191" s="12"/>
      <c r="D1191" s="13">
        <f>IFERROR(__xludf.DUMMYFUNCTION("""COMPUTED_VALUE"""),45435.0)</f>
        <v>45435</v>
      </c>
      <c r="E1191" s="13">
        <f>IFERROR(__xludf.DUMMYFUNCTION("""COMPUTED_VALUE"""),45798.0)</f>
        <v>45798</v>
      </c>
      <c r="F1191" s="13">
        <f>IFERROR(__xludf.DUMMYFUNCTION("""COMPUTED_VALUE"""),45798.0)</f>
        <v>45798</v>
      </c>
      <c r="G1191" s="16"/>
      <c r="H1191" s="16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>
      <c r="A1192" s="11" t="str">
        <f>IFERROR(__xludf.DUMMYFUNCTION("""COMPUTED_VALUE"""),"Microstrategy Inc  Cl A")</f>
        <v>Microstrategy Inc  Cl A</v>
      </c>
      <c r="B1192" s="12" t="str">
        <f>IFERROR(__xludf.DUMMYFUNCTION("""COMPUTED_VALUE"""),"MSTR-US")</f>
        <v>MSTR-US</v>
      </c>
      <c r="C1192" s="12"/>
      <c r="D1192" s="13">
        <f>IFERROR(__xludf.DUMMYFUNCTION("""COMPUTED_VALUE"""),45435.0)</f>
        <v>45435</v>
      </c>
      <c r="E1192" s="13">
        <f>IFERROR(__xludf.DUMMYFUNCTION("""COMPUTED_VALUE"""),45820.0)</f>
        <v>45820</v>
      </c>
      <c r="F1192" s="13">
        <f>IFERROR(__xludf.DUMMYFUNCTION("""COMPUTED_VALUE"""),45820.0)</f>
        <v>45820</v>
      </c>
      <c r="G1192" s="16"/>
      <c r="H1192" s="16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>
      <c r="A1193" s="11" t="str">
        <f>IFERROR(__xludf.DUMMYFUNCTION("""COMPUTED_VALUE"""),"Oneok Inc  Com")</f>
        <v>Oneok Inc  Com</v>
      </c>
      <c r="B1193" s="12" t="str">
        <f>IFERROR(__xludf.DUMMYFUNCTION("""COMPUTED_VALUE"""),"OKE-US")</f>
        <v>OKE-US</v>
      </c>
      <c r="C1193" s="12"/>
      <c r="D1193" s="13">
        <f>IFERROR(__xludf.DUMMYFUNCTION("""COMPUTED_VALUE"""),45435.0)</f>
        <v>45435</v>
      </c>
      <c r="E1193" s="13">
        <f>IFERROR(__xludf.DUMMYFUNCTION("""COMPUTED_VALUE"""),45798.0)</f>
        <v>45798</v>
      </c>
      <c r="F1193" s="13">
        <f>IFERROR(__xludf.DUMMYFUNCTION("""COMPUTED_VALUE"""),45798.0)</f>
        <v>45798</v>
      </c>
      <c r="G1193" s="16"/>
      <c r="H1193" s="16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>
      <c r="A1194" s="11" t="str">
        <f>IFERROR(__xludf.DUMMYFUNCTION("""COMPUTED_VALUE"""),"Ross Stores Inc  Com")</f>
        <v>Ross Stores Inc  Com</v>
      </c>
      <c r="B1194" s="12" t="str">
        <f>IFERROR(__xludf.DUMMYFUNCTION("""COMPUTED_VALUE"""),"ROST-US")</f>
        <v>ROST-US</v>
      </c>
      <c r="C1194" s="12"/>
      <c r="D1194" s="13">
        <f>IFERROR(__xludf.DUMMYFUNCTION("""COMPUTED_VALUE"""),45435.0)</f>
        <v>45435</v>
      </c>
      <c r="E1194" s="13">
        <f>IFERROR(__xludf.DUMMYFUNCTION("""COMPUTED_VALUE"""),45798.0)</f>
        <v>45798</v>
      </c>
      <c r="F1194" s="13">
        <f>IFERROR(__xludf.DUMMYFUNCTION("""COMPUTED_VALUE"""),45798.0)</f>
        <v>45798</v>
      </c>
      <c r="G1194" s="16"/>
      <c r="H1194" s="16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>
      <c r="A1195" s="11" t="str">
        <f>IFERROR(__xludf.DUMMYFUNCTION("""COMPUTED_VALUE"""),"Howmet Aerospace Inc  Com")</f>
        <v>Howmet Aerospace Inc  Com</v>
      </c>
      <c r="B1195" s="12" t="str">
        <f>IFERROR(__xludf.DUMMYFUNCTION("""COMPUTED_VALUE"""),"HWM-US")</f>
        <v>HWM-US</v>
      </c>
      <c r="C1195" s="12"/>
      <c r="D1195" s="13">
        <f>IFERROR(__xludf.DUMMYFUNCTION("""COMPUTED_VALUE"""),45435.0)</f>
        <v>45435</v>
      </c>
      <c r="E1195" s="13">
        <f>IFERROR(__xludf.DUMMYFUNCTION("""COMPUTED_VALUE"""),45805.0)</f>
        <v>45805</v>
      </c>
      <c r="F1195" s="13">
        <f>IFERROR(__xludf.DUMMYFUNCTION("""COMPUTED_VALUE"""),45805.0)</f>
        <v>45805</v>
      </c>
      <c r="G1195" s="16"/>
      <c r="H1195" s="16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>
      <c r="A1196" s="11" t="str">
        <f>IFERROR(__xludf.DUMMYFUNCTION("""COMPUTED_VALUE"""),"Cbre Group Inc  Com")</f>
        <v>Cbre Group Inc  Com</v>
      </c>
      <c r="B1196" s="12" t="str">
        <f>IFERROR(__xludf.DUMMYFUNCTION("""COMPUTED_VALUE"""),"CBRE-US")</f>
        <v>CBRE-US</v>
      </c>
      <c r="C1196" s="12"/>
      <c r="D1196" s="13">
        <f>IFERROR(__xludf.DUMMYFUNCTION("""COMPUTED_VALUE"""),45435.0)</f>
        <v>45435</v>
      </c>
      <c r="E1196" s="13">
        <f>IFERROR(__xludf.DUMMYFUNCTION("""COMPUTED_VALUE"""),45798.0)</f>
        <v>45798</v>
      </c>
      <c r="F1196" s="13">
        <f>IFERROR(__xludf.DUMMYFUNCTION("""COMPUTED_VALUE"""),45798.0)</f>
        <v>45798</v>
      </c>
      <c r="G1196" s="16"/>
      <c r="H1196" s="16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>
      <c r="A1197" s="11" t="str">
        <f>IFERROR(__xludf.DUMMYFUNCTION("""COMPUTED_VALUE"""),"Crown Castle Inc  Com")</f>
        <v>Crown Castle Inc  Com</v>
      </c>
      <c r="B1197" s="12" t="str">
        <f>IFERROR(__xludf.DUMMYFUNCTION("""COMPUTED_VALUE"""),"CCI-US")</f>
        <v>CCI-US</v>
      </c>
      <c r="C1197" s="12"/>
      <c r="D1197" s="13">
        <f>IFERROR(__xludf.DUMMYFUNCTION("""COMPUTED_VALUE"""),45435.0)</f>
        <v>45435</v>
      </c>
      <c r="E1197" s="13">
        <f>IFERROR(__xludf.DUMMYFUNCTION("""COMPUTED_VALUE"""),45798.0)</f>
        <v>45798</v>
      </c>
      <c r="F1197" s="13">
        <f>IFERROR(__xludf.DUMMYFUNCTION("""COMPUTED_VALUE"""),45798.0)</f>
        <v>45798</v>
      </c>
      <c r="G1197" s="16"/>
      <c r="H1197" s="16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>
      <c r="A1198" s="11" t="str">
        <f>IFERROR(__xludf.DUMMYFUNCTION("""COMPUTED_VALUE"""),"Xcel Energy Inc  Com")</f>
        <v>Xcel Energy Inc  Com</v>
      </c>
      <c r="B1198" s="12" t="str">
        <f>IFERROR(__xludf.DUMMYFUNCTION("""COMPUTED_VALUE"""),"XEL-US")</f>
        <v>XEL-US</v>
      </c>
      <c r="C1198" s="12"/>
      <c r="D1198" s="13">
        <f>IFERROR(__xludf.DUMMYFUNCTION("""COMPUTED_VALUE"""),45435.0)</f>
        <v>45435</v>
      </c>
      <c r="E1198" s="13">
        <f>IFERROR(__xludf.DUMMYFUNCTION("""COMPUTED_VALUE"""),45798.0)</f>
        <v>45798</v>
      </c>
      <c r="F1198" s="13">
        <f>IFERROR(__xludf.DUMMYFUNCTION("""COMPUTED_VALUE"""),45798.0)</f>
        <v>45798</v>
      </c>
      <c r="G1198" s="16"/>
      <c r="H1198" s="16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  <row r="1199">
      <c r="A1199" s="11" t="str">
        <f>IFERROR(__xludf.DUMMYFUNCTION("""COMPUTED_VALUE"""),"United Airlines Holdings Inc  Com")</f>
        <v>United Airlines Holdings Inc  Com</v>
      </c>
      <c r="B1199" s="12" t="str">
        <f>IFERROR(__xludf.DUMMYFUNCTION("""COMPUTED_VALUE"""),"UAL-US")</f>
        <v>UAL-US</v>
      </c>
      <c r="C1199" s="12"/>
      <c r="D1199" s="13">
        <f>IFERROR(__xludf.DUMMYFUNCTION("""COMPUTED_VALUE"""),45435.0)</f>
        <v>45435</v>
      </c>
      <c r="E1199" s="13">
        <f>IFERROR(__xludf.DUMMYFUNCTION("""COMPUTED_VALUE"""),45798.0)</f>
        <v>45798</v>
      </c>
      <c r="F1199" s="13">
        <f>IFERROR(__xludf.DUMMYFUNCTION("""COMPUTED_VALUE"""),45798.0)</f>
        <v>45798</v>
      </c>
      <c r="G1199" s="16"/>
      <c r="H1199" s="16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>
      <c r="A1200" s="11" t="str">
        <f>IFERROR(__xludf.DUMMYFUNCTION("""COMPUTED_VALUE"""),"Dexcom Inc  Com")</f>
        <v>Dexcom Inc  Com</v>
      </c>
      <c r="B1200" s="12" t="str">
        <f>IFERROR(__xludf.DUMMYFUNCTION("""COMPUTED_VALUE"""),"DXCM-US")</f>
        <v>DXCM-US</v>
      </c>
      <c r="C1200" s="12"/>
      <c r="D1200" s="13">
        <f>IFERROR(__xludf.DUMMYFUNCTION("""COMPUTED_VALUE"""),45435.0)</f>
        <v>45435</v>
      </c>
      <c r="E1200" s="13">
        <f>IFERROR(__xludf.DUMMYFUNCTION("""COMPUTED_VALUE"""),45785.0)</f>
        <v>45785</v>
      </c>
      <c r="F1200" s="13">
        <f>IFERROR(__xludf.DUMMYFUNCTION("""COMPUTED_VALUE"""),45785.0)</f>
        <v>45785</v>
      </c>
      <c r="G1200" s="16"/>
      <c r="H1200" s="16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</row>
    <row r="1201">
      <c r="A1201" s="11" t="str">
        <f>IFERROR(__xludf.DUMMYFUNCTION("""COMPUTED_VALUE"""),"Firstenergy Corp  Com")</f>
        <v>Firstenergy Corp  Com</v>
      </c>
      <c r="B1201" s="12" t="str">
        <f>IFERROR(__xludf.DUMMYFUNCTION("""COMPUTED_VALUE"""),"FE-US")</f>
        <v>FE-US</v>
      </c>
      <c r="C1201" s="12"/>
      <c r="D1201" s="13">
        <f>IFERROR(__xludf.DUMMYFUNCTION("""COMPUTED_VALUE"""),45435.0)</f>
        <v>45435</v>
      </c>
      <c r="E1201" s="13">
        <f>IFERROR(__xludf.DUMMYFUNCTION("""COMPUTED_VALUE"""),45798.0)</f>
        <v>45798</v>
      </c>
      <c r="F1201" s="13">
        <f>IFERROR(__xludf.DUMMYFUNCTION("""COMPUTED_VALUE"""),45798.0)</f>
        <v>45798</v>
      </c>
      <c r="G1201" s="12"/>
      <c r="H1201" s="12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>
      <c r="A1202" s="11" t="str">
        <f>IFERROR(__xludf.DUMMYFUNCTION("""COMPUTED_VALUE"""),"Markel Group Inc  Com")</f>
        <v>Markel Group Inc  Com</v>
      </c>
      <c r="B1202" s="12" t="str">
        <f>IFERROR(__xludf.DUMMYFUNCTION("""COMPUTED_VALUE"""),"MKL-US")</f>
        <v>MKL-US</v>
      </c>
      <c r="C1202" s="12"/>
      <c r="D1202" s="13">
        <f>IFERROR(__xludf.DUMMYFUNCTION("""COMPUTED_VALUE"""),45435.0)</f>
        <v>45435</v>
      </c>
      <c r="E1202" s="13">
        <f>IFERROR(__xludf.DUMMYFUNCTION("""COMPUTED_VALUE"""),45798.0)</f>
        <v>45798</v>
      </c>
      <c r="F1202" s="13">
        <f>IFERROR(__xludf.DUMMYFUNCTION("""COMPUTED_VALUE"""),45798.0)</f>
        <v>45798</v>
      </c>
      <c r="G1202" s="12"/>
      <c r="H1202" s="12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>
      <c r="A1203" s="11" t="str">
        <f>IFERROR(__xludf.DUMMYFUNCTION("""COMPUTED_VALUE"""),"Insulet Corp  Com")</f>
        <v>Insulet Corp  Com</v>
      </c>
      <c r="B1203" s="12" t="str">
        <f>IFERROR(__xludf.DUMMYFUNCTION("""COMPUTED_VALUE"""),"PODD-US")</f>
        <v>PODD-US</v>
      </c>
      <c r="C1203" s="12"/>
      <c r="D1203" s="13">
        <f>IFERROR(__xludf.DUMMYFUNCTION("""COMPUTED_VALUE"""),45435.0)</f>
        <v>45435</v>
      </c>
      <c r="E1203" s="13">
        <f>IFERROR(__xludf.DUMMYFUNCTION("""COMPUTED_VALUE"""),45799.0)</f>
        <v>45799</v>
      </c>
      <c r="F1203" s="13">
        <f>IFERROR(__xludf.DUMMYFUNCTION("""COMPUTED_VALUE"""),45799.0)</f>
        <v>45799</v>
      </c>
      <c r="G1203" s="12"/>
      <c r="H1203" s="12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>
      <c r="A1204" s="11" t="str">
        <f>IFERROR(__xludf.DUMMYFUNCTION("""COMPUTED_VALUE"""),"Burlington Stores Inc  Com")</f>
        <v>Burlington Stores Inc  Com</v>
      </c>
      <c r="B1204" s="12" t="str">
        <f>IFERROR(__xludf.DUMMYFUNCTION("""COMPUTED_VALUE"""),"BURL-US")</f>
        <v>BURL-US</v>
      </c>
      <c r="C1204" s="12"/>
      <c r="D1204" s="13">
        <f>IFERROR(__xludf.DUMMYFUNCTION("""COMPUTED_VALUE"""),45435.0)</f>
        <v>45435</v>
      </c>
      <c r="E1204" s="13">
        <f>IFERROR(__xludf.DUMMYFUNCTION("""COMPUTED_VALUE"""),45797.0)</f>
        <v>45797</v>
      </c>
      <c r="F1204" s="13">
        <f>IFERROR(__xludf.DUMMYFUNCTION("""COMPUTED_VALUE"""),45797.0)</f>
        <v>45797</v>
      </c>
      <c r="G1204" s="12"/>
      <c r="H1204" s="12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</row>
    <row r="1205">
      <c r="A1205" s="11" t="str">
        <f>IFERROR(__xludf.DUMMYFUNCTION("""COMPUTED_VALUE"""),"Align Technology Inc  Com")</f>
        <v>Align Technology Inc  Com</v>
      </c>
      <c r="B1205" s="12" t="str">
        <f>IFERROR(__xludf.DUMMYFUNCTION("""COMPUTED_VALUE"""),"ALGN-US")</f>
        <v>ALGN-US</v>
      </c>
      <c r="C1205" s="12"/>
      <c r="D1205" s="13">
        <f>IFERROR(__xludf.DUMMYFUNCTION("""COMPUTED_VALUE"""),45435.0)</f>
        <v>45435</v>
      </c>
      <c r="E1205" s="13">
        <f>IFERROR(__xludf.DUMMYFUNCTION("""COMPUTED_VALUE"""),45798.0)</f>
        <v>45798</v>
      </c>
      <c r="F1205" s="13">
        <f>IFERROR(__xludf.DUMMYFUNCTION("""COMPUTED_VALUE"""),45798.0)</f>
        <v>45798</v>
      </c>
      <c r="G1205" s="12"/>
      <c r="H1205" s="12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>
      <c r="A1206" s="11" t="str">
        <f>IFERROR(__xludf.DUMMYFUNCTION("""COMPUTED_VALUE"""),"Equitable Holdings Inc  Com")</f>
        <v>Equitable Holdings Inc  Com</v>
      </c>
      <c r="B1206" s="12" t="str">
        <f>IFERROR(__xludf.DUMMYFUNCTION("""COMPUTED_VALUE"""),"EQH-US")</f>
        <v>EQH-US</v>
      </c>
      <c r="C1206" s="12"/>
      <c r="D1206" s="13">
        <f>IFERROR(__xludf.DUMMYFUNCTION("""COMPUTED_VALUE"""),45435.0)</f>
        <v>45435</v>
      </c>
      <c r="E1206" s="13">
        <f>IFERROR(__xludf.DUMMYFUNCTION("""COMPUTED_VALUE"""),45798.0)</f>
        <v>45798</v>
      </c>
      <c r="F1206" s="13">
        <f>IFERROR(__xludf.DUMMYFUNCTION("""COMPUTED_VALUE"""),45798.0)</f>
        <v>45798</v>
      </c>
      <c r="G1206" s="12"/>
      <c r="H1206" s="12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</row>
    <row r="1207">
      <c r="A1207" s="11" t="str">
        <f>IFERROR(__xludf.DUMMYFUNCTION("""COMPUTED_VALUE"""),"Reinsurance Group Of America  Com")</f>
        <v>Reinsurance Group Of America  Com</v>
      </c>
      <c r="B1207" s="12" t="str">
        <f>IFERROR(__xludf.DUMMYFUNCTION("""COMPUTED_VALUE"""),"RGA-US")</f>
        <v>RGA-US</v>
      </c>
      <c r="C1207" s="12"/>
      <c r="D1207" s="13">
        <f>IFERROR(__xludf.DUMMYFUNCTION("""COMPUTED_VALUE"""),45435.0)</f>
        <v>45435</v>
      </c>
      <c r="E1207" s="13">
        <f>IFERROR(__xludf.DUMMYFUNCTION("""COMPUTED_VALUE"""),45798.0)</f>
        <v>45798</v>
      </c>
      <c r="F1207" s="13">
        <f>IFERROR(__xludf.DUMMYFUNCTION("""COMPUTED_VALUE"""),45798.0)</f>
        <v>45798</v>
      </c>
      <c r="G1207" s="12"/>
      <c r="H1207" s="12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>
      <c r="A1208" s="11" t="str">
        <f>IFERROR(__xludf.DUMMYFUNCTION("""COMPUTED_VALUE"""),"Sprouts Farmers Market Inc  Com")</f>
        <v>Sprouts Farmers Market Inc  Com</v>
      </c>
      <c r="B1208" s="12" t="str">
        <f>IFERROR(__xludf.DUMMYFUNCTION("""COMPUTED_VALUE"""),"SFM-US")</f>
        <v>SFM-US</v>
      </c>
      <c r="C1208" s="12"/>
      <c r="D1208" s="13">
        <f>IFERROR(__xludf.DUMMYFUNCTION("""COMPUTED_VALUE"""),45435.0)</f>
        <v>45435</v>
      </c>
      <c r="E1208" s="13">
        <f>IFERROR(__xludf.DUMMYFUNCTION("""COMPUTED_VALUE"""),45798.0)</f>
        <v>45798</v>
      </c>
      <c r="F1208" s="13">
        <f>IFERROR(__xludf.DUMMYFUNCTION("""COMPUTED_VALUE"""),45798.0)</f>
        <v>45798</v>
      </c>
      <c r="G1208" s="12"/>
      <c r="H1208" s="12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</row>
    <row r="1209">
      <c r="A1209" s="11" t="str">
        <f>IFERROR(__xludf.DUMMYFUNCTION("""COMPUTED_VALUE"""),"Neurocrine Biosciences Inc  Com")</f>
        <v>Neurocrine Biosciences Inc  Com</v>
      </c>
      <c r="B1209" s="12" t="str">
        <f>IFERROR(__xludf.DUMMYFUNCTION("""COMPUTED_VALUE"""),"NBIX-US")</f>
        <v>NBIX-US</v>
      </c>
      <c r="C1209" s="12"/>
      <c r="D1209" s="13">
        <f>IFERROR(__xludf.DUMMYFUNCTION("""COMPUTED_VALUE"""),45435.0)</f>
        <v>45435</v>
      </c>
      <c r="E1209" s="13">
        <f>IFERROR(__xludf.DUMMYFUNCTION("""COMPUTED_VALUE"""),45798.0)</f>
        <v>45798</v>
      </c>
      <c r="F1209" s="13">
        <f>IFERROR(__xludf.DUMMYFUNCTION("""COMPUTED_VALUE"""),45798.0)</f>
        <v>45798</v>
      </c>
      <c r="G1209" s="12"/>
      <c r="H1209" s="12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>
      <c r="A1210" s="11" t="str">
        <f>IFERROR(__xludf.DUMMYFUNCTION("""COMPUTED_VALUE"""),"Jones Lang Lasalle Inc  Com")</f>
        <v>Jones Lang Lasalle Inc  Com</v>
      </c>
      <c r="B1210" s="12" t="str">
        <f>IFERROR(__xludf.DUMMYFUNCTION("""COMPUTED_VALUE"""),"JLL-US")</f>
        <v>JLL-US</v>
      </c>
      <c r="C1210" s="12"/>
      <c r="D1210" s="13">
        <f>IFERROR(__xludf.DUMMYFUNCTION("""COMPUTED_VALUE"""),45435.0)</f>
        <v>45435</v>
      </c>
      <c r="E1210" s="13">
        <f>IFERROR(__xludf.DUMMYFUNCTION("""COMPUTED_VALUE"""),45798.0)</f>
        <v>45798</v>
      </c>
      <c r="F1210" s="13">
        <f>IFERROR(__xludf.DUMMYFUNCTION("""COMPUTED_VALUE"""),45798.0)</f>
        <v>45798</v>
      </c>
      <c r="G1210" s="12"/>
      <c r="H1210" s="12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</row>
    <row r="1211">
      <c r="A1211" s="11" t="str">
        <f>IFERROR(__xludf.DUMMYFUNCTION("""COMPUTED_VALUE"""),"Tenet Healthcare Corp  Com")</f>
        <v>Tenet Healthcare Corp  Com</v>
      </c>
      <c r="B1211" s="12" t="str">
        <f>IFERROR(__xludf.DUMMYFUNCTION("""COMPUTED_VALUE"""),"THC-US")</f>
        <v>THC-US</v>
      </c>
      <c r="C1211" s="12"/>
      <c r="D1211" s="13">
        <f>IFERROR(__xludf.DUMMYFUNCTION("""COMPUTED_VALUE"""),45435.0)</f>
        <v>45435</v>
      </c>
      <c r="E1211" s="13">
        <f>IFERROR(__xludf.DUMMYFUNCTION("""COMPUTED_VALUE"""),45799.0)</f>
        <v>45799</v>
      </c>
      <c r="F1211" s="13">
        <f>IFERROR(__xludf.DUMMYFUNCTION("""COMPUTED_VALUE"""),45799.0)</f>
        <v>45799</v>
      </c>
      <c r="G1211" s="12"/>
      <c r="H1211" s="12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>
      <c r="A1212" s="11" t="str">
        <f>IFERROR(__xludf.DUMMYFUNCTION("""COMPUTED_VALUE"""),"Clean Harbors Inc  Com")</f>
        <v>Clean Harbors Inc  Com</v>
      </c>
      <c r="B1212" s="12" t="str">
        <f>IFERROR(__xludf.DUMMYFUNCTION("""COMPUTED_VALUE"""),"CLH-US")</f>
        <v>CLH-US</v>
      </c>
      <c r="C1212" s="12"/>
      <c r="D1212" s="13">
        <f>IFERROR(__xludf.DUMMYFUNCTION("""COMPUTED_VALUE"""),45435.0)</f>
        <v>45435</v>
      </c>
      <c r="E1212" s="13">
        <f>IFERROR(__xludf.DUMMYFUNCTION("""COMPUTED_VALUE"""),45798.0)</f>
        <v>45798</v>
      </c>
      <c r="F1212" s="13">
        <f>IFERROR(__xludf.DUMMYFUNCTION("""COMPUTED_VALUE"""),45798.0)</f>
        <v>45798</v>
      </c>
      <c r="G1212" s="12"/>
      <c r="H1212" s="12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>
      <c r="A1213" s="11" t="str">
        <f>IFERROR(__xludf.DUMMYFUNCTION("""COMPUTED_VALUE"""),"Bxp Inc  Com")</f>
        <v>Bxp Inc  Com</v>
      </c>
      <c r="B1213" s="12" t="str">
        <f>IFERROR(__xludf.DUMMYFUNCTION("""COMPUTED_VALUE"""),"BXP-US")</f>
        <v>BXP-US</v>
      </c>
      <c r="C1213" s="12"/>
      <c r="D1213" s="13">
        <f>IFERROR(__xludf.DUMMYFUNCTION("""COMPUTED_VALUE"""),45435.0)</f>
        <v>45435</v>
      </c>
      <c r="E1213" s="13">
        <f>IFERROR(__xludf.DUMMYFUNCTION("""COMPUTED_VALUE"""),45797.0)</f>
        <v>45797</v>
      </c>
      <c r="F1213" s="13">
        <f>IFERROR(__xludf.DUMMYFUNCTION("""COMPUTED_VALUE"""),45797.0)</f>
        <v>45797</v>
      </c>
      <c r="G1213" s="12"/>
      <c r="H1213" s="12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>
      <c r="A1214" s="11" t="str">
        <f>IFERROR(__xludf.DUMMYFUNCTION("""COMPUTED_VALUE"""),"Permian Resources Corp  Cl A")</f>
        <v>Permian Resources Corp  Cl A</v>
      </c>
      <c r="B1214" s="12" t="str">
        <f>IFERROR(__xludf.DUMMYFUNCTION("""COMPUTED_VALUE"""),"PR-US")</f>
        <v>PR-US</v>
      </c>
      <c r="C1214" s="12"/>
      <c r="D1214" s="13">
        <f>IFERROR(__xludf.DUMMYFUNCTION("""COMPUTED_VALUE"""),45435.0)</f>
        <v>45435</v>
      </c>
      <c r="E1214" s="13">
        <f>IFERROR(__xludf.DUMMYFUNCTION("""COMPUTED_VALUE"""),45798.0)</f>
        <v>45798</v>
      </c>
      <c r="F1214" s="13">
        <f>IFERROR(__xludf.DUMMYFUNCTION("""COMPUTED_VALUE"""),45798.0)</f>
        <v>45798</v>
      </c>
      <c r="G1214" s="12"/>
      <c r="H1214" s="12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>
      <c r="A1215" s="11" t="str">
        <f>IFERROR(__xludf.DUMMYFUNCTION("""COMPUTED_VALUE"""),"Onto Innovation Inc  Com")</f>
        <v>Onto Innovation Inc  Com</v>
      </c>
      <c r="B1215" s="12" t="str">
        <f>IFERROR(__xludf.DUMMYFUNCTION("""COMPUTED_VALUE"""),"ONTO-US")</f>
        <v>ONTO-US</v>
      </c>
      <c r="C1215" s="12"/>
      <c r="D1215" s="13">
        <f>IFERROR(__xludf.DUMMYFUNCTION("""COMPUTED_VALUE"""),45435.0)</f>
        <v>45435</v>
      </c>
      <c r="E1215" s="13">
        <f>IFERROR(__xludf.DUMMYFUNCTION("""COMPUTED_VALUE"""),45798.0)</f>
        <v>45798</v>
      </c>
      <c r="F1215" s="13">
        <f>IFERROR(__xludf.DUMMYFUNCTION("""COMPUTED_VALUE"""),45798.0)</f>
        <v>45798</v>
      </c>
      <c r="G1215" s="12"/>
      <c r="H1215" s="12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>
      <c r="A1216" s="11" t="str">
        <f>IFERROR(__xludf.DUMMYFUNCTION("""COMPUTED_VALUE"""),"Pinnacle West Capital Corp  Com")</f>
        <v>Pinnacle West Capital Corp  Com</v>
      </c>
      <c r="B1216" s="12" t="str">
        <f>IFERROR(__xludf.DUMMYFUNCTION("""COMPUTED_VALUE"""),"PNW-US")</f>
        <v>PNW-US</v>
      </c>
      <c r="C1216" s="12"/>
      <c r="D1216" s="13">
        <f>IFERROR(__xludf.DUMMYFUNCTION("""COMPUTED_VALUE"""),45435.0)</f>
        <v>45435</v>
      </c>
      <c r="E1216" s="13">
        <f>IFERROR(__xludf.DUMMYFUNCTION("""COMPUTED_VALUE"""),45798.0)</f>
        <v>45798</v>
      </c>
      <c r="F1216" s="13">
        <f>IFERROR(__xludf.DUMMYFUNCTION("""COMPUTED_VALUE"""),45798.0)</f>
        <v>45798</v>
      </c>
      <c r="G1216" s="12"/>
      <c r="H1216" s="12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>
      <c r="A1217" s="11" t="str">
        <f>IFERROR(__xludf.DUMMYFUNCTION("""COMPUTED_VALUE"""),"Americold Realty Trust Inc  Com")</f>
        <v>Americold Realty Trust Inc  Com</v>
      </c>
      <c r="B1217" s="12" t="str">
        <f>IFERROR(__xludf.DUMMYFUNCTION("""COMPUTED_VALUE"""),"COLD-US")</f>
        <v>COLD-US</v>
      </c>
      <c r="C1217" s="12"/>
      <c r="D1217" s="13">
        <f>IFERROR(__xludf.DUMMYFUNCTION("""COMPUTED_VALUE"""),45435.0)</f>
        <v>45435</v>
      </c>
      <c r="E1217" s="13">
        <f>IFERROR(__xludf.DUMMYFUNCTION("""COMPUTED_VALUE"""),45797.0)</f>
        <v>45797</v>
      </c>
      <c r="F1217" s="13">
        <f>IFERROR(__xludf.DUMMYFUNCTION("""COMPUTED_VALUE"""),45797.0)</f>
        <v>45797</v>
      </c>
      <c r="G1217" s="12"/>
      <c r="H1217" s="12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>
      <c r="A1218" s="11" t="str">
        <f>IFERROR(__xludf.DUMMYFUNCTION("""COMPUTED_VALUE"""),"Affiliated Managers Group Inc  Com")</f>
        <v>Affiliated Managers Group Inc  Com</v>
      </c>
      <c r="B1218" s="12" t="str">
        <f>IFERROR(__xludf.DUMMYFUNCTION("""COMPUTED_VALUE"""),"AMG-US")</f>
        <v>AMG-US</v>
      </c>
      <c r="C1218" s="12"/>
      <c r="D1218" s="13">
        <f>IFERROR(__xludf.DUMMYFUNCTION("""COMPUTED_VALUE"""),45435.0)</f>
        <v>45435</v>
      </c>
      <c r="E1218" s="13">
        <f>IFERROR(__xludf.DUMMYFUNCTION("""COMPUTED_VALUE"""),45799.0)</f>
        <v>45799</v>
      </c>
      <c r="F1218" s="13">
        <f>IFERROR(__xludf.DUMMYFUNCTION("""COMPUTED_VALUE"""),45799.0)</f>
        <v>45799</v>
      </c>
      <c r="G1218" s="12"/>
      <c r="H1218" s="12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>
      <c r="A1219" s="11" t="str">
        <f>IFERROR(__xludf.DUMMYFUNCTION("""COMPUTED_VALUE"""),"Hf Sinclair Corp  Com")</f>
        <v>Hf Sinclair Corp  Com</v>
      </c>
      <c r="B1219" s="12" t="str">
        <f>IFERROR(__xludf.DUMMYFUNCTION("""COMPUTED_VALUE"""),"DINO-US")</f>
        <v>DINO-US</v>
      </c>
      <c r="C1219" s="12"/>
      <c r="D1219" s="13">
        <f>IFERROR(__xludf.DUMMYFUNCTION("""COMPUTED_VALUE"""),45435.0)</f>
        <v>45435</v>
      </c>
      <c r="E1219" s="13">
        <f>IFERROR(__xludf.DUMMYFUNCTION("""COMPUTED_VALUE"""),45791.0)</f>
        <v>45791</v>
      </c>
      <c r="F1219" s="13">
        <f>IFERROR(__xludf.DUMMYFUNCTION("""COMPUTED_VALUE"""),45791.0)</f>
        <v>45791</v>
      </c>
      <c r="G1219" s="12"/>
      <c r="H1219" s="12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>
      <c r="A1220" s="11" t="str">
        <f>IFERROR(__xludf.DUMMYFUNCTION("""COMPUTED_VALUE"""),"Watts Water Technologies Inc  Cl A")</f>
        <v>Watts Water Technologies Inc  Cl A</v>
      </c>
      <c r="B1220" s="12" t="str">
        <f>IFERROR(__xludf.DUMMYFUNCTION("""COMPUTED_VALUE"""),"WTS-US")</f>
        <v>WTS-US</v>
      </c>
      <c r="C1220" s="12"/>
      <c r="D1220" s="13">
        <f>IFERROR(__xludf.DUMMYFUNCTION("""COMPUTED_VALUE"""),45435.0)</f>
        <v>45435</v>
      </c>
      <c r="E1220" s="13">
        <f>IFERROR(__xludf.DUMMYFUNCTION("""COMPUTED_VALUE"""),45798.0)</f>
        <v>45798</v>
      </c>
      <c r="F1220" s="13">
        <f>IFERROR(__xludf.DUMMYFUNCTION("""COMPUTED_VALUE"""),45798.0)</f>
        <v>45798</v>
      </c>
      <c r="G1220" s="12"/>
      <c r="H1220" s="12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>
      <c r="A1221" s="11" t="str">
        <f>IFERROR(__xludf.DUMMYFUNCTION("""COMPUTED_VALUE"""),"Tenable Holdings Inc  Com")</f>
        <v>Tenable Holdings Inc  Com</v>
      </c>
      <c r="B1221" s="12" t="str">
        <f>IFERROR(__xludf.DUMMYFUNCTION("""COMPUTED_VALUE"""),"TENB-US")</f>
        <v>TENB-US</v>
      </c>
      <c r="C1221" s="12"/>
      <c r="D1221" s="13">
        <f>IFERROR(__xludf.DUMMYFUNCTION("""COMPUTED_VALUE"""),45435.0)</f>
        <v>45435</v>
      </c>
      <c r="E1221" s="13">
        <f>IFERROR(__xludf.DUMMYFUNCTION("""COMPUTED_VALUE"""),45791.0)</f>
        <v>45791</v>
      </c>
      <c r="F1221" s="13">
        <f>IFERROR(__xludf.DUMMYFUNCTION("""COMPUTED_VALUE"""),45791.0)</f>
        <v>45791</v>
      </c>
      <c r="G1221" s="12"/>
      <c r="H1221" s="12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>
      <c r="A1222" s="11" t="str">
        <f>IFERROR(__xludf.DUMMYFUNCTION("""COMPUTED_VALUE"""),"Radian Group Inc  Com")</f>
        <v>Radian Group Inc  Com</v>
      </c>
      <c r="B1222" s="12" t="str">
        <f>IFERROR(__xludf.DUMMYFUNCTION("""COMPUTED_VALUE"""),"RDN-US")</f>
        <v>RDN-US</v>
      </c>
      <c r="C1222" s="12"/>
      <c r="D1222" s="13">
        <f>IFERROR(__xludf.DUMMYFUNCTION("""COMPUTED_VALUE"""),45435.0)</f>
        <v>45435</v>
      </c>
      <c r="E1222" s="13">
        <f>IFERROR(__xludf.DUMMYFUNCTION("""COMPUTED_VALUE"""),45798.0)</f>
        <v>45798</v>
      </c>
      <c r="F1222" s="13">
        <f>IFERROR(__xludf.DUMMYFUNCTION("""COMPUTED_VALUE"""),45798.0)</f>
        <v>45798</v>
      </c>
      <c r="G1222" s="12"/>
      <c r="H1222" s="12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>
      <c r="A1223" s="11" t="str">
        <f>IFERROR(__xludf.DUMMYFUNCTION("""COMPUTED_VALUE"""),"Kilroy Realty Corp  Com")</f>
        <v>Kilroy Realty Corp  Com</v>
      </c>
      <c r="B1223" s="12" t="str">
        <f>IFERROR(__xludf.DUMMYFUNCTION("""COMPUTED_VALUE"""),"KRC-US")</f>
        <v>KRC-US</v>
      </c>
      <c r="C1223" s="12"/>
      <c r="D1223" s="13">
        <f>IFERROR(__xludf.DUMMYFUNCTION("""COMPUTED_VALUE"""),45435.0)</f>
        <v>45435</v>
      </c>
      <c r="E1223" s="13">
        <f>IFERROR(__xludf.DUMMYFUNCTION("""COMPUTED_VALUE"""),45797.0)</f>
        <v>45797</v>
      </c>
      <c r="F1223" s="13">
        <f>IFERROR(__xludf.DUMMYFUNCTION("""COMPUTED_VALUE"""),45797.0)</f>
        <v>45797</v>
      </c>
      <c r="G1223" s="12"/>
      <c r="H1223" s="12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>
      <c r="A1224" s="11" t="str">
        <f>IFERROR(__xludf.DUMMYFUNCTION("""COMPUTED_VALUE"""),"Integer Holdings Corp  Com")</f>
        <v>Integer Holdings Corp  Com</v>
      </c>
      <c r="B1224" s="12" t="str">
        <f>IFERROR(__xludf.DUMMYFUNCTION("""COMPUTED_VALUE"""),"ITGR-US")</f>
        <v>ITGR-US</v>
      </c>
      <c r="C1224" s="12"/>
      <c r="D1224" s="13">
        <f>IFERROR(__xludf.DUMMYFUNCTION("""COMPUTED_VALUE"""),45435.0)</f>
        <v>45435</v>
      </c>
      <c r="E1224" s="13">
        <f>IFERROR(__xludf.DUMMYFUNCTION("""COMPUTED_VALUE"""),45798.0)</f>
        <v>45798</v>
      </c>
      <c r="F1224" s="13">
        <f>IFERROR(__xludf.DUMMYFUNCTION("""COMPUTED_VALUE"""),45798.0)</f>
        <v>45798</v>
      </c>
      <c r="G1224" s="12"/>
      <c r="H1224" s="12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</row>
    <row r="1225">
      <c r="A1225" s="11" t="str">
        <f>IFERROR(__xludf.DUMMYFUNCTION("""COMPUTED_VALUE"""),"Dentsply Sirona Inc  Com")</f>
        <v>Dentsply Sirona Inc  Com</v>
      </c>
      <c r="B1225" s="12" t="str">
        <f>IFERROR(__xludf.DUMMYFUNCTION("""COMPUTED_VALUE"""),"XRAY-US")</f>
        <v>XRAY-US</v>
      </c>
      <c r="C1225" s="12"/>
      <c r="D1225" s="13">
        <f>IFERROR(__xludf.DUMMYFUNCTION("""COMPUTED_VALUE"""),45435.0)</f>
        <v>45435</v>
      </c>
      <c r="E1225" s="13">
        <f>IFERROR(__xludf.DUMMYFUNCTION("""COMPUTED_VALUE"""),45798.0)</f>
        <v>45798</v>
      </c>
      <c r="F1225" s="13">
        <f>IFERROR(__xludf.DUMMYFUNCTION("""COMPUTED_VALUE"""),45798.0)</f>
        <v>45798</v>
      </c>
      <c r="G1225" s="12"/>
      <c r="H1225" s="12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>
      <c r="A1226" s="11" t="str">
        <f>IFERROR(__xludf.DUMMYFUNCTION("""COMPUTED_VALUE"""),"Telephone &amp; Data Systems Inc  Com")</f>
        <v>Telephone &amp; Data Systems Inc  Com</v>
      </c>
      <c r="B1226" s="12" t="str">
        <f>IFERROR(__xludf.DUMMYFUNCTION("""COMPUTED_VALUE"""),"TDS-US")</f>
        <v>TDS-US</v>
      </c>
      <c r="C1226" s="12"/>
      <c r="D1226" s="13">
        <f>IFERROR(__xludf.DUMMYFUNCTION("""COMPUTED_VALUE"""),45435.0)</f>
        <v>45435</v>
      </c>
      <c r="E1226" s="13">
        <f>IFERROR(__xludf.DUMMYFUNCTION("""COMPUTED_VALUE"""),45799.0)</f>
        <v>45799</v>
      </c>
      <c r="F1226" s="13">
        <f>IFERROR(__xludf.DUMMYFUNCTION("""COMPUTED_VALUE"""),45799.0)</f>
        <v>45799</v>
      </c>
      <c r="G1226" s="12"/>
      <c r="H1226" s="12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</row>
    <row r="1227">
      <c r="A1227" s="11" t="str">
        <f>IFERROR(__xludf.DUMMYFUNCTION("""COMPUTED_VALUE"""),"Madden Steven Ltd  Com")</f>
        <v>Madden Steven Ltd  Com</v>
      </c>
      <c r="B1227" s="12" t="str">
        <f>IFERROR(__xludf.DUMMYFUNCTION("""COMPUTED_VALUE"""),"SHOO-US")</f>
        <v>SHOO-US</v>
      </c>
      <c r="C1227" s="12"/>
      <c r="D1227" s="13">
        <f>IFERROR(__xludf.DUMMYFUNCTION("""COMPUTED_VALUE"""),45435.0)</f>
        <v>45435</v>
      </c>
      <c r="E1227" s="13">
        <f>IFERROR(__xludf.DUMMYFUNCTION("""COMPUTED_VALUE"""),45798.0)</f>
        <v>45798</v>
      </c>
      <c r="F1227" s="13">
        <f>IFERROR(__xludf.DUMMYFUNCTION("""COMPUTED_VALUE"""),45798.0)</f>
        <v>45798</v>
      </c>
      <c r="G1227" s="12"/>
      <c r="H1227" s="12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>
      <c r="A1228" s="11" t="str">
        <f>IFERROR(__xludf.DUMMYFUNCTION("""COMPUTED_VALUE"""),"National Health Investors Inc  Com")</f>
        <v>National Health Investors Inc  Com</v>
      </c>
      <c r="B1228" s="12" t="str">
        <f>IFERROR(__xludf.DUMMYFUNCTION("""COMPUTED_VALUE"""),"NHI-US")</f>
        <v>NHI-US</v>
      </c>
      <c r="C1228" s="12"/>
      <c r="D1228" s="13">
        <f>IFERROR(__xludf.DUMMYFUNCTION("""COMPUTED_VALUE"""),45435.0)</f>
        <v>45435</v>
      </c>
      <c r="E1228" s="13">
        <f>IFERROR(__xludf.DUMMYFUNCTION("""COMPUTED_VALUE"""),45798.0)</f>
        <v>45798</v>
      </c>
      <c r="F1228" s="13">
        <f>IFERROR(__xludf.DUMMYFUNCTION("""COMPUTED_VALUE"""),45798.0)</f>
        <v>45798</v>
      </c>
      <c r="G1228" s="12"/>
      <c r="H1228" s="12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</row>
    <row r="1229">
      <c r="A1229" s="11" t="str">
        <f>IFERROR(__xludf.DUMMYFUNCTION("""COMPUTED_VALUE"""),"First Interstate Bancsystem  Com")</f>
        <v>First Interstate Bancsystem  Com</v>
      </c>
      <c r="B1229" s="12" t="str">
        <f>IFERROR(__xludf.DUMMYFUNCTION("""COMPUTED_VALUE"""),"FIBK-US")</f>
        <v>FIBK-US</v>
      </c>
      <c r="C1229" s="12"/>
      <c r="D1229" s="13">
        <f>IFERROR(__xludf.DUMMYFUNCTION("""COMPUTED_VALUE"""),45435.0)</f>
        <v>45435</v>
      </c>
      <c r="E1229" s="13">
        <f>IFERROR(__xludf.DUMMYFUNCTION("""COMPUTED_VALUE"""),45797.0)</f>
        <v>45797</v>
      </c>
      <c r="F1229" s="13">
        <f>IFERROR(__xludf.DUMMYFUNCTION("""COMPUTED_VALUE"""),45797.0)</f>
        <v>45797</v>
      </c>
      <c r="G1229" s="12"/>
      <c r="H1229" s="12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>
      <c r="A1230" s="11" t="str">
        <f>IFERROR(__xludf.DUMMYFUNCTION("""COMPUTED_VALUE"""),"Advance Auto Parts Inc  Com")</f>
        <v>Advance Auto Parts Inc  Com</v>
      </c>
      <c r="B1230" s="12" t="str">
        <f>IFERROR(__xludf.DUMMYFUNCTION("""COMPUTED_VALUE"""),"AAP-US")</f>
        <v>AAP-US</v>
      </c>
      <c r="C1230" s="12"/>
      <c r="D1230" s="13">
        <f>IFERROR(__xludf.DUMMYFUNCTION("""COMPUTED_VALUE"""),45435.0)</f>
        <v>45435</v>
      </c>
      <c r="E1230" s="13">
        <f>IFERROR(__xludf.DUMMYFUNCTION("""COMPUTED_VALUE"""),45791.0)</f>
        <v>45791</v>
      </c>
      <c r="F1230" s="13">
        <f>IFERROR(__xludf.DUMMYFUNCTION("""COMPUTED_VALUE"""),45791.0)</f>
        <v>45791</v>
      </c>
      <c r="G1230" s="12"/>
      <c r="H1230" s="12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>
      <c r="A1231" s="11" t="str">
        <f>IFERROR(__xludf.DUMMYFUNCTION("""COMPUTED_VALUE"""),"Banner Corp  Com")</f>
        <v>Banner Corp  Com</v>
      </c>
      <c r="B1231" s="12" t="str">
        <f>IFERROR(__xludf.DUMMYFUNCTION("""COMPUTED_VALUE"""),"BANR-US")</f>
        <v>BANR-US</v>
      </c>
      <c r="C1231" s="12"/>
      <c r="D1231" s="13">
        <f>IFERROR(__xludf.DUMMYFUNCTION("""COMPUTED_VALUE"""),45435.0)</f>
        <v>45435</v>
      </c>
      <c r="E1231" s="13">
        <f>IFERROR(__xludf.DUMMYFUNCTION("""COMPUTED_VALUE"""),45799.0)</f>
        <v>45799</v>
      </c>
      <c r="F1231" s="13">
        <f>IFERROR(__xludf.DUMMYFUNCTION("""COMPUTED_VALUE"""),45799.0)</f>
        <v>45799</v>
      </c>
      <c r="G1231" s="12"/>
      <c r="H1231" s="12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>
      <c r="A1232" s="11" t="str">
        <f>IFERROR(__xludf.DUMMYFUNCTION("""COMPUTED_VALUE"""),"Tandem Diabetes Care Inc  Com")</f>
        <v>Tandem Diabetes Care Inc  Com</v>
      </c>
      <c r="B1232" s="12" t="str">
        <f>IFERROR(__xludf.DUMMYFUNCTION("""COMPUTED_VALUE"""),"TNDM-US")</f>
        <v>TNDM-US</v>
      </c>
      <c r="C1232" s="12"/>
      <c r="D1232" s="13">
        <f>IFERROR(__xludf.DUMMYFUNCTION("""COMPUTED_VALUE"""),45435.0)</f>
        <v>45435</v>
      </c>
      <c r="E1232" s="13">
        <f>IFERROR(__xludf.DUMMYFUNCTION("""COMPUTED_VALUE"""),45798.0)</f>
        <v>45798</v>
      </c>
      <c r="F1232" s="13">
        <f>IFERROR(__xludf.DUMMYFUNCTION("""COMPUTED_VALUE"""),45798.0)</f>
        <v>45798</v>
      </c>
      <c r="G1232" s="12"/>
      <c r="H1232" s="12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>
      <c r="A1233" s="11" t="str">
        <f>IFERROR(__xludf.DUMMYFUNCTION("""COMPUTED_VALUE"""),"Privia Health Group Inc  Com")</f>
        <v>Privia Health Group Inc  Com</v>
      </c>
      <c r="B1233" s="12" t="str">
        <f>IFERROR(__xludf.DUMMYFUNCTION("""COMPUTED_VALUE"""),"PRVA-US")</f>
        <v>PRVA-US</v>
      </c>
      <c r="C1233" s="12"/>
      <c r="D1233" s="13">
        <f>IFERROR(__xludf.DUMMYFUNCTION("""COMPUTED_VALUE"""),45435.0)</f>
        <v>45435</v>
      </c>
      <c r="E1233" s="13">
        <f>IFERROR(__xludf.DUMMYFUNCTION("""COMPUTED_VALUE"""),45798.0)</f>
        <v>45798</v>
      </c>
      <c r="F1233" s="13">
        <f>IFERROR(__xludf.DUMMYFUNCTION("""COMPUTED_VALUE"""),45798.0)</f>
        <v>45798</v>
      </c>
      <c r="G1233" s="12"/>
      <c r="H1233" s="12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>
      <c r="A1234" s="11" t="str">
        <f>IFERROR(__xludf.DUMMYFUNCTION("""COMPUTED_VALUE"""),"Arbor Realty Trust Inc  Com")</f>
        <v>Arbor Realty Trust Inc  Com</v>
      </c>
      <c r="B1234" s="12" t="str">
        <f>IFERROR(__xludf.DUMMYFUNCTION("""COMPUTED_VALUE"""),"ABR-US")</f>
        <v>ABR-US</v>
      </c>
      <c r="C1234" s="12"/>
      <c r="D1234" s="13">
        <f>IFERROR(__xludf.DUMMYFUNCTION("""COMPUTED_VALUE"""),45435.0)</f>
        <v>45435</v>
      </c>
      <c r="E1234" s="13">
        <f>IFERROR(__xludf.DUMMYFUNCTION("""COMPUTED_VALUE"""),45798.0)</f>
        <v>45798</v>
      </c>
      <c r="F1234" s="13">
        <f>IFERROR(__xludf.DUMMYFUNCTION("""COMPUTED_VALUE"""),45798.0)</f>
        <v>45798</v>
      </c>
      <c r="G1234" s="12"/>
      <c r="H1234" s="12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>
      <c r="A1235" s="11" t="str">
        <f>IFERROR(__xludf.DUMMYFUNCTION("""COMPUTED_VALUE"""),"Gulfport Energy Corp  Com")</f>
        <v>Gulfport Energy Corp  Com</v>
      </c>
      <c r="B1235" s="12" t="str">
        <f>IFERROR(__xludf.DUMMYFUNCTION("""COMPUTED_VALUE"""),"GPOR-US")</f>
        <v>GPOR-US</v>
      </c>
      <c r="C1235" s="12"/>
      <c r="D1235" s="13">
        <f>IFERROR(__xludf.DUMMYFUNCTION("""COMPUTED_VALUE"""),45435.0)</f>
        <v>45435</v>
      </c>
      <c r="E1235" s="13">
        <f>IFERROR(__xludf.DUMMYFUNCTION("""COMPUTED_VALUE"""),45798.0)</f>
        <v>45798</v>
      </c>
      <c r="F1235" s="13">
        <f>IFERROR(__xludf.DUMMYFUNCTION("""COMPUTED_VALUE"""),45798.0)</f>
        <v>45798</v>
      </c>
      <c r="G1235" s="12"/>
      <c r="H1235" s="12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>
      <c r="A1236" s="11" t="str">
        <f>IFERROR(__xludf.DUMMYFUNCTION("""COMPUTED_VALUE"""),"Conmed Corp  Com")</f>
        <v>Conmed Corp  Com</v>
      </c>
      <c r="B1236" s="12" t="str">
        <f>IFERROR(__xludf.DUMMYFUNCTION("""COMPUTED_VALUE"""),"CNMD-US")</f>
        <v>CNMD-US</v>
      </c>
      <c r="C1236" s="12"/>
      <c r="D1236" s="13">
        <f>IFERROR(__xludf.DUMMYFUNCTION("""COMPUTED_VALUE"""),45435.0)</f>
        <v>45435</v>
      </c>
      <c r="E1236" s="13">
        <f>IFERROR(__xludf.DUMMYFUNCTION("""COMPUTED_VALUE"""),45797.0)</f>
        <v>45797</v>
      </c>
      <c r="F1236" s="13">
        <f>IFERROR(__xludf.DUMMYFUNCTION("""COMPUTED_VALUE"""),45797.0)</f>
        <v>45797</v>
      </c>
      <c r="G1236" s="12"/>
      <c r="H1236" s="12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</row>
    <row r="1237">
      <c r="A1237" s="11" t="str">
        <f>IFERROR(__xludf.DUMMYFUNCTION("""COMPUTED_VALUE"""),"Adt Inc  Com")</f>
        <v>Adt Inc  Com</v>
      </c>
      <c r="B1237" s="12" t="str">
        <f>IFERROR(__xludf.DUMMYFUNCTION("""COMPUTED_VALUE"""),"ADT-US")</f>
        <v>ADT-US</v>
      </c>
      <c r="C1237" s="12"/>
      <c r="D1237" s="13">
        <f>IFERROR(__xludf.DUMMYFUNCTION("""COMPUTED_VALUE"""),45435.0)</f>
        <v>45435</v>
      </c>
      <c r="E1237" s="13">
        <f>IFERROR(__xludf.DUMMYFUNCTION("""COMPUTED_VALUE"""),45798.0)</f>
        <v>45798</v>
      </c>
      <c r="F1237" s="13">
        <f>IFERROR(__xludf.DUMMYFUNCTION("""COMPUTED_VALUE"""),45798.0)</f>
        <v>45798</v>
      </c>
      <c r="G1237" s="12"/>
      <c r="H1237" s="12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>
      <c r="A1238" s="11" t="str">
        <f>IFERROR(__xludf.DUMMYFUNCTION("""COMPUTED_VALUE"""),"Dyne Therapeutics Inc  Com")</f>
        <v>Dyne Therapeutics Inc  Com</v>
      </c>
      <c r="B1238" s="12" t="str">
        <f>IFERROR(__xludf.DUMMYFUNCTION("""COMPUTED_VALUE"""),"DYN-US")</f>
        <v>DYN-US</v>
      </c>
      <c r="C1238" s="12"/>
      <c r="D1238" s="13">
        <f>IFERROR(__xludf.DUMMYFUNCTION("""COMPUTED_VALUE"""),45435.0)</f>
        <v>45435</v>
      </c>
      <c r="E1238" s="13">
        <f>IFERROR(__xludf.DUMMYFUNCTION("""COMPUTED_VALUE"""),45807.0)</f>
        <v>45807</v>
      </c>
      <c r="F1238" s="13">
        <f>IFERROR(__xludf.DUMMYFUNCTION("""COMPUTED_VALUE"""),45807.0)</f>
        <v>45807</v>
      </c>
      <c r="G1238" s="12"/>
      <c r="H1238" s="12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</row>
    <row r="1239">
      <c r="A1239" s="11" t="str">
        <f>IFERROR(__xludf.DUMMYFUNCTION("""COMPUTED_VALUE"""),"Benchmark Electronics Inc  Com")</f>
        <v>Benchmark Electronics Inc  Com</v>
      </c>
      <c r="B1239" s="12" t="str">
        <f>IFERROR(__xludf.DUMMYFUNCTION("""COMPUTED_VALUE"""),"BHE-US")</f>
        <v>BHE-US</v>
      </c>
      <c r="C1239" s="12"/>
      <c r="D1239" s="13">
        <f>IFERROR(__xludf.DUMMYFUNCTION("""COMPUTED_VALUE"""),45435.0)</f>
        <v>45435</v>
      </c>
      <c r="E1239" s="13">
        <f>IFERROR(__xludf.DUMMYFUNCTION("""COMPUTED_VALUE"""),45791.0)</f>
        <v>45791</v>
      </c>
      <c r="F1239" s="13">
        <f>IFERROR(__xludf.DUMMYFUNCTION("""COMPUTED_VALUE"""),45791.0)</f>
        <v>45791</v>
      </c>
      <c r="G1239" s="12"/>
      <c r="H1239" s="12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  <row r="1240">
      <c r="A1240" s="11" t="str">
        <f>IFERROR(__xludf.DUMMYFUNCTION("""COMPUTED_VALUE"""),"Avis Budget Group Inc  Com")</f>
        <v>Avis Budget Group Inc  Com</v>
      </c>
      <c r="B1240" s="12" t="str">
        <f>IFERROR(__xludf.DUMMYFUNCTION("""COMPUTED_VALUE"""),"CAR-US")</f>
        <v>CAR-US</v>
      </c>
      <c r="C1240" s="12"/>
      <c r="D1240" s="13">
        <f>IFERROR(__xludf.DUMMYFUNCTION("""COMPUTED_VALUE"""),45435.0)</f>
        <v>45435</v>
      </c>
      <c r="E1240" s="13">
        <f>IFERROR(__xludf.DUMMYFUNCTION("""COMPUTED_VALUE"""),45791.0)</f>
        <v>45791</v>
      </c>
      <c r="F1240" s="13">
        <f>IFERROR(__xludf.DUMMYFUNCTION("""COMPUTED_VALUE"""),45791.0)</f>
        <v>45791</v>
      </c>
      <c r="G1240" s="12"/>
      <c r="H1240" s="12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</row>
    <row r="1241">
      <c r="A1241" s="11" t="str">
        <f>IFERROR(__xludf.DUMMYFUNCTION("""COMPUTED_VALUE"""),"Ultra Clean Hldgs Inc  Com")</f>
        <v>Ultra Clean Hldgs Inc  Com</v>
      </c>
      <c r="B1241" s="12" t="str">
        <f>IFERROR(__xludf.DUMMYFUNCTION("""COMPUTED_VALUE"""),"UCTT-US")</f>
        <v>UCTT-US</v>
      </c>
      <c r="C1241" s="12"/>
      <c r="D1241" s="13">
        <f>IFERROR(__xludf.DUMMYFUNCTION("""COMPUTED_VALUE"""),45435.0)</f>
        <v>45435</v>
      </c>
      <c r="E1241" s="13">
        <f>IFERROR(__xludf.DUMMYFUNCTION("""COMPUTED_VALUE"""),45798.0)</f>
        <v>45798</v>
      </c>
      <c r="F1241" s="13">
        <f>IFERROR(__xludf.DUMMYFUNCTION("""COMPUTED_VALUE"""),45798.0)</f>
        <v>45798</v>
      </c>
      <c r="G1241" s="12"/>
      <c r="H1241" s="12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</row>
    <row r="1242">
      <c r="A1242" s="11" t="str">
        <f>IFERROR(__xludf.DUMMYFUNCTION("""COMPUTED_VALUE"""),"Sprout Social Inc  Cl A")</f>
        <v>Sprout Social Inc  Cl A</v>
      </c>
      <c r="B1242" s="12" t="str">
        <f>IFERROR(__xludf.DUMMYFUNCTION("""COMPUTED_VALUE"""),"SPT-US")</f>
        <v>SPT-US</v>
      </c>
      <c r="C1242" s="12"/>
      <c r="D1242" s="13">
        <f>IFERROR(__xludf.DUMMYFUNCTION("""COMPUTED_VALUE"""),45435.0)</f>
        <v>45435</v>
      </c>
      <c r="E1242" s="13">
        <f>IFERROR(__xludf.DUMMYFUNCTION("""COMPUTED_VALUE"""),45799.0)</f>
        <v>45799</v>
      </c>
      <c r="F1242" s="13">
        <f>IFERROR(__xludf.DUMMYFUNCTION("""COMPUTED_VALUE"""),45799.0)</f>
        <v>45799</v>
      </c>
      <c r="G1242" s="12"/>
      <c r="H1242" s="12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</row>
    <row r="1243">
      <c r="A1243" s="11" t="str">
        <f>IFERROR(__xludf.DUMMYFUNCTION("""COMPUTED_VALUE"""),"Horace Mann Educators Corp  Com")</f>
        <v>Horace Mann Educators Corp  Com</v>
      </c>
      <c r="B1243" s="12" t="str">
        <f>IFERROR(__xludf.DUMMYFUNCTION("""COMPUTED_VALUE"""),"HMN-US")</f>
        <v>HMN-US</v>
      </c>
      <c r="C1243" s="12"/>
      <c r="D1243" s="13">
        <f>IFERROR(__xludf.DUMMYFUNCTION("""COMPUTED_VALUE"""),45435.0)</f>
        <v>45435</v>
      </c>
      <c r="E1243" s="13">
        <f>IFERROR(__xludf.DUMMYFUNCTION("""COMPUTED_VALUE"""),45791.0)</f>
        <v>45791</v>
      </c>
      <c r="F1243" s="13">
        <f>IFERROR(__xludf.DUMMYFUNCTION("""COMPUTED_VALUE"""),45791.0)</f>
        <v>45791</v>
      </c>
      <c r="G1243" s="12"/>
      <c r="H1243" s="12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</row>
    <row r="1244">
      <c r="A1244" s="11" t="str">
        <f>IFERROR(__xludf.DUMMYFUNCTION("""COMPUTED_VALUE"""),"Perella Weinberg Partner  Cl A")</f>
        <v>Perella Weinberg Partner  Cl A</v>
      </c>
      <c r="B1244" s="12" t="str">
        <f>IFERROR(__xludf.DUMMYFUNCTION("""COMPUTED_VALUE"""),"PWP-US")</f>
        <v>PWP-US</v>
      </c>
      <c r="C1244" s="12"/>
      <c r="D1244" s="13">
        <f>IFERROR(__xludf.DUMMYFUNCTION("""COMPUTED_VALUE"""),45435.0)</f>
        <v>45435</v>
      </c>
      <c r="E1244" s="13">
        <f>IFERROR(__xludf.DUMMYFUNCTION("""COMPUTED_VALUE"""),45805.0)</f>
        <v>45805</v>
      </c>
      <c r="F1244" s="13">
        <f>IFERROR(__xludf.DUMMYFUNCTION("""COMPUTED_VALUE"""),45805.0)</f>
        <v>45805</v>
      </c>
      <c r="G1244" s="12"/>
      <c r="H1244" s="12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</row>
    <row r="1245">
      <c r="A1245" s="11" t="str">
        <f>IFERROR(__xludf.DUMMYFUNCTION("""COMPUTED_VALUE"""),"Dnow Inc  Com")</f>
        <v>Dnow Inc  Com</v>
      </c>
      <c r="B1245" s="12" t="str">
        <f>IFERROR(__xludf.DUMMYFUNCTION("""COMPUTED_VALUE"""),"DNOW-US")</f>
        <v>DNOW-US</v>
      </c>
      <c r="C1245" s="12"/>
      <c r="D1245" s="13">
        <f>IFERROR(__xludf.DUMMYFUNCTION("""COMPUTED_VALUE"""),45435.0)</f>
        <v>45435</v>
      </c>
      <c r="E1245" s="13">
        <f>IFERROR(__xludf.DUMMYFUNCTION("""COMPUTED_VALUE"""),45798.0)</f>
        <v>45798</v>
      </c>
      <c r="F1245" s="13">
        <f>IFERROR(__xludf.DUMMYFUNCTION("""COMPUTED_VALUE"""),45798.0)</f>
        <v>45798</v>
      </c>
      <c r="G1245" s="12"/>
      <c r="H1245" s="12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</row>
    <row r="1246">
      <c r="A1246" s="11" t="str">
        <f>IFERROR(__xludf.DUMMYFUNCTION("""COMPUTED_VALUE"""),"Tutor Perini Corp  Com")</f>
        <v>Tutor Perini Corp  Com</v>
      </c>
      <c r="B1246" s="12" t="str">
        <f>IFERROR(__xludf.DUMMYFUNCTION("""COMPUTED_VALUE"""),"TPC-US")</f>
        <v>TPC-US</v>
      </c>
      <c r="C1246" s="12"/>
      <c r="D1246" s="13">
        <f>IFERROR(__xludf.DUMMYFUNCTION("""COMPUTED_VALUE"""),45435.0)</f>
        <v>45435</v>
      </c>
      <c r="E1246" s="13">
        <f>IFERROR(__xludf.DUMMYFUNCTION("""COMPUTED_VALUE"""),45792.0)</f>
        <v>45792</v>
      </c>
      <c r="F1246" s="13">
        <f>IFERROR(__xludf.DUMMYFUNCTION("""COMPUTED_VALUE"""),45792.0)</f>
        <v>45792</v>
      </c>
      <c r="G1246" s="12"/>
      <c r="H1246" s="12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</row>
    <row r="1247">
      <c r="A1247" s="11" t="str">
        <f>IFERROR(__xludf.DUMMYFUNCTION("""COMPUTED_VALUE"""),"Ltc Properties Inc  Com")</f>
        <v>Ltc Properties Inc  Com</v>
      </c>
      <c r="B1247" s="12" t="str">
        <f>IFERROR(__xludf.DUMMYFUNCTION("""COMPUTED_VALUE"""),"LTC-US")</f>
        <v>LTC-US</v>
      </c>
      <c r="C1247" s="12"/>
      <c r="D1247" s="13">
        <f>IFERROR(__xludf.DUMMYFUNCTION("""COMPUTED_VALUE"""),45435.0)</f>
        <v>45435</v>
      </c>
      <c r="E1247" s="13">
        <f>IFERROR(__xludf.DUMMYFUNCTION("""COMPUTED_VALUE"""),45805.0)</f>
        <v>45805</v>
      </c>
      <c r="F1247" s="13">
        <f>IFERROR(__xludf.DUMMYFUNCTION("""COMPUTED_VALUE"""),45805.0)</f>
        <v>45805</v>
      </c>
      <c r="G1247" s="12"/>
      <c r="H1247" s="12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</row>
    <row r="1248">
      <c r="A1248" s="11" t="str">
        <f>IFERROR(__xludf.DUMMYFUNCTION("""COMPUTED_VALUE"""),"Everi Holdings Inc  Com")</f>
        <v>Everi Holdings Inc  Com</v>
      </c>
      <c r="B1248" s="12" t="str">
        <f>IFERROR(__xludf.DUMMYFUNCTION("""COMPUTED_VALUE"""),"EVRI-US")</f>
        <v>EVRI-US</v>
      </c>
      <c r="C1248" s="12"/>
      <c r="D1248" s="13">
        <f>IFERROR(__xludf.DUMMYFUNCTION("""COMPUTED_VALUE"""),45435.0)</f>
        <v>45435</v>
      </c>
      <c r="E1248" s="13">
        <f>IFERROR(__xludf.DUMMYFUNCTION("""COMPUTED_VALUE"""),45798.0)</f>
        <v>45798</v>
      </c>
      <c r="F1248" s="13">
        <f>IFERROR(__xludf.DUMMYFUNCTION("""COMPUTED_VALUE"""),45798.0)</f>
        <v>45798</v>
      </c>
      <c r="G1248" s="12"/>
      <c r="H1248" s="12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</row>
    <row r="1249">
      <c r="A1249" s="11" t="str">
        <f>IFERROR(__xludf.DUMMYFUNCTION("""COMPUTED_VALUE"""),"First Busey Corp  Com")</f>
        <v>First Busey Corp  Com</v>
      </c>
      <c r="B1249" s="12" t="str">
        <f>IFERROR(__xludf.DUMMYFUNCTION("""COMPUTED_VALUE"""),"BUSE-US")</f>
        <v>BUSE-US</v>
      </c>
      <c r="C1249" s="12"/>
      <c r="D1249" s="13">
        <f>IFERROR(__xludf.DUMMYFUNCTION("""COMPUTED_VALUE"""),45435.0)</f>
        <v>45435</v>
      </c>
      <c r="E1249" s="13">
        <f>IFERROR(__xludf.DUMMYFUNCTION("""COMPUTED_VALUE"""),45806.0)</f>
        <v>45806</v>
      </c>
      <c r="F1249" s="13">
        <f>IFERROR(__xludf.DUMMYFUNCTION("""COMPUTED_VALUE"""),45806.0)</f>
        <v>45806</v>
      </c>
      <c r="G1249" s="12"/>
      <c r="H1249" s="12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</row>
    <row r="1250">
      <c r="A1250" s="11" t="str">
        <f>IFERROR(__xludf.DUMMYFUNCTION("""COMPUTED_VALUE"""),"Xerox Holdings Corp  Com")</f>
        <v>Xerox Holdings Corp  Com</v>
      </c>
      <c r="B1250" s="12" t="str">
        <f>IFERROR(__xludf.DUMMYFUNCTION("""COMPUTED_VALUE"""),"XRX-US")</f>
        <v>XRX-US</v>
      </c>
      <c r="C1250" s="12"/>
      <c r="D1250" s="13">
        <f>IFERROR(__xludf.DUMMYFUNCTION("""COMPUTED_VALUE"""),45435.0)</f>
        <v>45435</v>
      </c>
      <c r="E1250" s="13">
        <f>IFERROR(__xludf.DUMMYFUNCTION("""COMPUTED_VALUE"""),45798.0)</f>
        <v>45798</v>
      </c>
      <c r="F1250" s="13">
        <f>IFERROR(__xludf.DUMMYFUNCTION("""COMPUTED_VALUE"""),45798.0)</f>
        <v>45798</v>
      </c>
      <c r="G1250" s="12"/>
      <c r="H1250" s="12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</row>
    <row r="1251">
      <c r="A1251" s="11" t="str">
        <f>IFERROR(__xludf.DUMMYFUNCTION("""COMPUTED_VALUE"""),"Cbl &amp; Associates Properties Inc  Com")</f>
        <v>Cbl &amp; Associates Properties Inc  Com</v>
      </c>
      <c r="B1251" s="12" t="str">
        <f>IFERROR(__xludf.DUMMYFUNCTION("""COMPUTED_VALUE"""),"CBL-US")</f>
        <v>CBL-US</v>
      </c>
      <c r="C1251" s="12"/>
      <c r="D1251" s="13">
        <f>IFERROR(__xludf.DUMMYFUNCTION("""COMPUTED_VALUE"""),45435.0)</f>
        <v>45435</v>
      </c>
      <c r="E1251" s="13">
        <f>IFERROR(__xludf.DUMMYFUNCTION("""COMPUTED_VALUE"""),45799.0)</f>
        <v>45799</v>
      </c>
      <c r="F1251" s="13">
        <f>IFERROR(__xludf.DUMMYFUNCTION("""COMPUTED_VALUE"""),45799.0)</f>
        <v>45799</v>
      </c>
      <c r="G1251" s="12"/>
      <c r="H1251" s="12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</row>
    <row r="1252">
      <c r="A1252" s="11" t="str">
        <f>IFERROR(__xludf.DUMMYFUNCTION("""COMPUTED_VALUE"""),"Willis Lease Finance Corp  Com")</f>
        <v>Willis Lease Finance Corp  Com</v>
      </c>
      <c r="B1252" s="12" t="str">
        <f>IFERROR(__xludf.DUMMYFUNCTION("""COMPUTED_VALUE"""),"WLFC-US")</f>
        <v>WLFC-US</v>
      </c>
      <c r="C1252" s="12"/>
      <c r="D1252" s="13">
        <f>IFERROR(__xludf.DUMMYFUNCTION("""COMPUTED_VALUE"""),45435.0)</f>
        <v>45435</v>
      </c>
      <c r="E1252" s="13">
        <f>IFERROR(__xludf.DUMMYFUNCTION("""COMPUTED_VALUE"""),45813.0)</f>
        <v>45813</v>
      </c>
      <c r="F1252" s="13">
        <f>IFERROR(__xludf.DUMMYFUNCTION("""COMPUTED_VALUE"""),45813.0)</f>
        <v>45813</v>
      </c>
      <c r="G1252" s="12"/>
      <c r="H1252" s="12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</row>
    <row r="1253">
      <c r="A1253" s="11" t="str">
        <f>IFERROR(__xludf.DUMMYFUNCTION("""COMPUTED_VALUE"""),"Coastal Financial Corp  Com")</f>
        <v>Coastal Financial Corp  Com</v>
      </c>
      <c r="B1253" s="12" t="str">
        <f>IFERROR(__xludf.DUMMYFUNCTION("""COMPUTED_VALUE"""),"CCB-US")</f>
        <v>CCB-US</v>
      </c>
      <c r="C1253" s="12"/>
      <c r="D1253" s="13">
        <f>IFERROR(__xludf.DUMMYFUNCTION("""COMPUTED_VALUE"""),45435.0)</f>
        <v>45435</v>
      </c>
      <c r="E1253" s="13">
        <f>IFERROR(__xludf.DUMMYFUNCTION("""COMPUTED_VALUE"""),45805.0)</f>
        <v>45805</v>
      </c>
      <c r="F1253" s="13">
        <f>IFERROR(__xludf.DUMMYFUNCTION("""COMPUTED_VALUE"""),45805.0)</f>
        <v>45805</v>
      </c>
      <c r="G1253" s="12"/>
      <c r="H1253" s="12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</row>
    <row r="1254">
      <c r="A1254" s="11" t="str">
        <f>IFERROR(__xludf.DUMMYFUNCTION("""COMPUTED_VALUE"""),"Weave Communications Inc  Com")</f>
        <v>Weave Communications Inc  Com</v>
      </c>
      <c r="B1254" s="12" t="str">
        <f>IFERROR(__xludf.DUMMYFUNCTION("""COMPUTED_VALUE"""),"WEAV-US")</f>
        <v>WEAV-US</v>
      </c>
      <c r="C1254" s="12"/>
      <c r="D1254" s="13">
        <f>IFERROR(__xludf.DUMMYFUNCTION("""COMPUTED_VALUE"""),45070.0)</f>
        <v>45070</v>
      </c>
      <c r="E1254" s="13">
        <f>IFERROR(__xludf.DUMMYFUNCTION("""COMPUTED_VALUE"""),45798.0)</f>
        <v>45798</v>
      </c>
      <c r="F1254" s="13">
        <f>IFERROR(__xludf.DUMMYFUNCTION("""COMPUTED_VALUE"""),45798.0)</f>
        <v>45798</v>
      </c>
      <c r="G1254" s="12"/>
      <c r="H1254" s="12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</row>
    <row r="1255">
      <c r="A1255" s="11" t="str">
        <f>IFERROR(__xludf.DUMMYFUNCTION("""COMPUTED_VALUE"""),"Wabash National Corp  Com")</f>
        <v>Wabash National Corp  Com</v>
      </c>
      <c r="B1255" s="12" t="str">
        <f>IFERROR(__xludf.DUMMYFUNCTION("""COMPUTED_VALUE"""),"WNC-US")</f>
        <v>WNC-US</v>
      </c>
      <c r="C1255" s="12"/>
      <c r="D1255" s="13">
        <f>IFERROR(__xludf.DUMMYFUNCTION("""COMPUTED_VALUE"""),45436.0)</f>
        <v>45436</v>
      </c>
      <c r="E1255" s="13">
        <f>IFERROR(__xludf.DUMMYFUNCTION("""COMPUTED_VALUE"""),45791.0)</f>
        <v>45791</v>
      </c>
      <c r="F1255" s="13">
        <f>IFERROR(__xludf.DUMMYFUNCTION("""COMPUTED_VALUE"""),45791.0)</f>
        <v>45791</v>
      </c>
      <c r="G1255" s="12"/>
      <c r="H1255" s="12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</row>
    <row r="1256">
      <c r="A1256" s="11" t="str">
        <f>IFERROR(__xludf.DUMMYFUNCTION("""COMPUTED_VALUE"""),"Summit Hotel Properties Inc  Com")</f>
        <v>Summit Hotel Properties Inc  Com</v>
      </c>
      <c r="B1256" s="12" t="str">
        <f>IFERROR(__xludf.DUMMYFUNCTION("""COMPUTED_VALUE"""),"INN-US")</f>
        <v>INN-US</v>
      </c>
      <c r="C1256" s="12"/>
      <c r="D1256" s="13">
        <f>IFERROR(__xludf.DUMMYFUNCTION("""COMPUTED_VALUE"""),45436.0)</f>
        <v>45436</v>
      </c>
      <c r="E1256" s="13">
        <f>IFERROR(__xludf.DUMMYFUNCTION("""COMPUTED_VALUE"""),45798.0)</f>
        <v>45798</v>
      </c>
      <c r="F1256" s="13">
        <f>IFERROR(__xludf.DUMMYFUNCTION("""COMPUTED_VALUE"""),45798.0)</f>
        <v>45798</v>
      </c>
      <c r="G1256" s="12"/>
      <c r="H1256" s="12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</row>
    <row r="1257">
      <c r="A1257" s="11" t="str">
        <f>IFERROR(__xludf.DUMMYFUNCTION("""COMPUTED_VALUE"""),"Proassurance Corp  Com")</f>
        <v>Proassurance Corp  Com</v>
      </c>
      <c r="B1257" s="12" t="str">
        <f>IFERROR(__xludf.DUMMYFUNCTION("""COMPUTED_VALUE"""),"PRA-US")</f>
        <v>PRA-US</v>
      </c>
      <c r="C1257" s="12"/>
      <c r="D1257" s="13">
        <f>IFERROR(__xludf.DUMMYFUNCTION("""COMPUTED_VALUE"""),45436.0)</f>
        <v>45436</v>
      </c>
      <c r="E1257" s="13">
        <f>IFERROR(__xludf.DUMMYFUNCTION("""COMPUTED_VALUE"""),45798.0)</f>
        <v>45798</v>
      </c>
      <c r="F1257" s="13">
        <f>IFERROR(__xludf.DUMMYFUNCTION("""COMPUTED_VALUE"""),45798.0)</f>
        <v>45798</v>
      </c>
      <c r="G1257" s="12"/>
      <c r="H1257" s="12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</row>
    <row r="1258">
      <c r="A1258" s="11" t="str">
        <f>IFERROR(__xludf.DUMMYFUNCTION("""COMPUTED_VALUE"""),"Nb Bancorp Inc  Com")</f>
        <v>Nb Bancorp Inc  Com</v>
      </c>
      <c r="B1258" s="12" t="str">
        <f>IFERROR(__xludf.DUMMYFUNCTION("""COMPUTED_VALUE"""),"NBBK-US")</f>
        <v>NBBK-US</v>
      </c>
      <c r="C1258" s="12"/>
      <c r="D1258" s="13">
        <f>IFERROR(__xludf.DUMMYFUNCTION("""COMPUTED_VALUE"""),45436.0)</f>
        <v>45436</v>
      </c>
      <c r="E1258" s="13">
        <f>IFERROR(__xludf.DUMMYFUNCTION("""COMPUTED_VALUE"""),45770.0)</f>
        <v>45770</v>
      </c>
      <c r="F1258" s="13">
        <f>IFERROR(__xludf.DUMMYFUNCTION("""COMPUTED_VALUE"""),45770.0)</f>
        <v>45770</v>
      </c>
      <c r="G1258" s="12"/>
      <c r="H1258" s="12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</row>
    <row r="1259">
      <c r="A1259" s="11" t="str">
        <f>IFERROR(__xludf.DUMMYFUNCTION("""COMPUTED_VALUE"""),"N Able Inc  Com")</f>
        <v>N Able Inc  Com</v>
      </c>
      <c r="B1259" s="12" t="str">
        <f>IFERROR(__xludf.DUMMYFUNCTION("""COMPUTED_VALUE"""),"NABL-US")</f>
        <v>NABL-US</v>
      </c>
      <c r="C1259" s="12"/>
      <c r="D1259" s="13">
        <f>IFERROR(__xludf.DUMMYFUNCTION("""COMPUTED_VALUE"""),45436.0)</f>
        <v>45436</v>
      </c>
      <c r="E1259" s="13">
        <f>IFERROR(__xludf.DUMMYFUNCTION("""COMPUTED_VALUE"""),45799.0)</f>
        <v>45799</v>
      </c>
      <c r="F1259" s="13">
        <f>IFERROR(__xludf.DUMMYFUNCTION("""COMPUTED_VALUE"""),45799.0)</f>
        <v>45799</v>
      </c>
      <c r="G1259" s="12"/>
      <c r="H1259" s="12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</row>
    <row r="1260">
      <c r="A1260" s="11" t="str">
        <f>IFERROR(__xludf.DUMMYFUNCTION("""COMPUTED_VALUE"""),"Spartannash Co  Com")</f>
        <v>Spartannash Co  Com</v>
      </c>
      <c r="B1260" s="12" t="str">
        <f>IFERROR(__xludf.DUMMYFUNCTION("""COMPUTED_VALUE"""),"SPTN-US")</f>
        <v>SPTN-US</v>
      </c>
      <c r="C1260" s="12"/>
      <c r="D1260" s="13">
        <f>IFERROR(__xludf.DUMMYFUNCTION("""COMPUTED_VALUE"""),45436.0)</f>
        <v>45436</v>
      </c>
      <c r="E1260" s="13">
        <f>IFERROR(__xludf.DUMMYFUNCTION("""COMPUTED_VALUE"""),45798.0)</f>
        <v>45798</v>
      </c>
      <c r="F1260" s="13">
        <f>IFERROR(__xludf.DUMMYFUNCTION("""COMPUTED_VALUE"""),45798.0)</f>
        <v>45798</v>
      </c>
      <c r="G1260" s="12"/>
      <c r="H1260" s="12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</row>
    <row r="1261">
      <c r="A1261" s="11" t="str">
        <f>IFERROR(__xludf.DUMMYFUNCTION("""COMPUTED_VALUE"""),"Arbutus Biopharma Corp  Com")</f>
        <v>Arbutus Biopharma Corp  Com</v>
      </c>
      <c r="B1261" s="12" t="str">
        <f>IFERROR(__xludf.DUMMYFUNCTION("""COMPUTED_VALUE"""),"ABUS-US")</f>
        <v>ABUS-US</v>
      </c>
      <c r="C1261" s="12"/>
      <c r="D1261" s="13">
        <f>IFERROR(__xludf.DUMMYFUNCTION("""COMPUTED_VALUE"""),45436.0)</f>
        <v>45436</v>
      </c>
      <c r="E1261" s="13">
        <f>IFERROR(__xludf.DUMMYFUNCTION("""COMPUTED_VALUE"""),45798.0)</f>
        <v>45798</v>
      </c>
      <c r="F1261" s="13">
        <f>IFERROR(__xludf.DUMMYFUNCTION("""COMPUTED_VALUE"""),45798.0)</f>
        <v>45798</v>
      </c>
      <c r="G1261" s="12"/>
      <c r="H1261" s="12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</row>
    <row r="1262">
      <c r="A1262" s="11" t="str">
        <f>IFERROR(__xludf.DUMMYFUNCTION("""COMPUTED_VALUE"""),"Skywater Technology Inc  Com")</f>
        <v>Skywater Technology Inc  Com</v>
      </c>
      <c r="B1262" s="12" t="str">
        <f>IFERROR(__xludf.DUMMYFUNCTION("""COMPUTED_VALUE"""),"SKYT-US")</f>
        <v>SKYT-US</v>
      </c>
      <c r="C1262" s="12"/>
      <c r="D1262" s="13">
        <f>IFERROR(__xludf.DUMMYFUNCTION("""COMPUTED_VALUE"""),45436.0)</f>
        <v>45436</v>
      </c>
      <c r="E1262" s="13">
        <f>IFERROR(__xludf.DUMMYFUNCTION("""COMPUTED_VALUE"""),45798.0)</f>
        <v>45798</v>
      </c>
      <c r="F1262" s="13">
        <f>IFERROR(__xludf.DUMMYFUNCTION("""COMPUTED_VALUE"""),45798.0)</f>
        <v>45798</v>
      </c>
      <c r="G1262" s="12"/>
      <c r="H1262" s="12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</row>
    <row r="1263">
      <c r="A1263" s="11" t="str">
        <f>IFERROR(__xludf.DUMMYFUNCTION("""COMPUTED_VALUE"""),"Open Lending Corp  Com")</f>
        <v>Open Lending Corp  Com</v>
      </c>
      <c r="B1263" s="12" t="str">
        <f>IFERROR(__xludf.DUMMYFUNCTION("""COMPUTED_VALUE"""),"LPRO-US")</f>
        <v>LPRO-US</v>
      </c>
      <c r="C1263" s="12"/>
      <c r="D1263" s="13">
        <f>IFERROR(__xludf.DUMMYFUNCTION("""COMPUTED_VALUE"""),45436.0)</f>
        <v>45436</v>
      </c>
      <c r="E1263" s="13">
        <f>IFERROR(__xludf.DUMMYFUNCTION("""COMPUTED_VALUE"""),45798.0)</f>
        <v>45798</v>
      </c>
      <c r="F1263" s="13">
        <f>IFERROR(__xludf.DUMMYFUNCTION("""COMPUTED_VALUE"""),45798.0)</f>
        <v>45798</v>
      </c>
      <c r="G1263" s="12"/>
      <c r="H1263" s="12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</row>
    <row r="1264">
      <c r="A1264" s="11" t="str">
        <f>IFERROR(__xludf.DUMMYFUNCTION("""COMPUTED_VALUE"""),"Hertz Global Holdings Inc  Com")</f>
        <v>Hertz Global Holdings Inc  Com</v>
      </c>
      <c r="B1264" s="12" t="str">
        <f>IFERROR(__xludf.DUMMYFUNCTION("""COMPUTED_VALUE"""),"HTZ-US")</f>
        <v>HTZ-US</v>
      </c>
      <c r="C1264" s="12"/>
      <c r="D1264" s="13">
        <f>IFERROR(__xludf.DUMMYFUNCTION("""COMPUTED_VALUE"""),45436.0)</f>
        <v>45436</v>
      </c>
      <c r="E1264" s="13">
        <f>IFERROR(__xludf.DUMMYFUNCTION("""COMPUTED_VALUE"""),45798.0)</f>
        <v>45798</v>
      </c>
      <c r="F1264" s="13">
        <f>IFERROR(__xludf.DUMMYFUNCTION("""COMPUTED_VALUE"""),45798.0)</f>
        <v>45798</v>
      </c>
      <c r="G1264" s="12"/>
      <c r="H1264" s="12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</row>
    <row r="1265">
      <c r="A1265" s="11" t="str">
        <f>IFERROR(__xludf.DUMMYFUNCTION("""COMPUTED_VALUE"""),"Carter Bankshares Inc  Com")</f>
        <v>Carter Bankshares Inc  Com</v>
      </c>
      <c r="B1265" s="12" t="str">
        <f>IFERROR(__xludf.DUMMYFUNCTION("""COMPUTED_VALUE"""),"CARE-US")</f>
        <v>CARE-US</v>
      </c>
      <c r="C1265" s="12"/>
      <c r="D1265" s="13">
        <f>IFERROR(__xludf.DUMMYFUNCTION("""COMPUTED_VALUE"""),45436.0)</f>
        <v>45436</v>
      </c>
      <c r="E1265" s="13">
        <f>IFERROR(__xludf.DUMMYFUNCTION("""COMPUTED_VALUE"""),45805.0)</f>
        <v>45805</v>
      </c>
      <c r="F1265" s="13">
        <f>IFERROR(__xludf.DUMMYFUNCTION("""COMPUTED_VALUE"""),45805.0)</f>
        <v>45805</v>
      </c>
      <c r="G1265" s="12"/>
      <c r="H1265" s="12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</row>
    <row r="1266">
      <c r="A1266" s="11" t="str">
        <f>IFERROR(__xludf.DUMMYFUNCTION("""COMPUTED_VALUE"""),"Northfield Bancorp Inc  Com")</f>
        <v>Northfield Bancorp Inc  Com</v>
      </c>
      <c r="B1266" s="12" t="str">
        <f>IFERROR(__xludf.DUMMYFUNCTION("""COMPUTED_VALUE"""),"NFBK-US")</f>
        <v>NFBK-US</v>
      </c>
      <c r="C1266" s="12"/>
      <c r="D1266" s="13">
        <f>IFERROR(__xludf.DUMMYFUNCTION("""COMPUTED_VALUE"""),45436.0)</f>
        <v>45436</v>
      </c>
      <c r="E1266" s="13">
        <f>IFERROR(__xludf.DUMMYFUNCTION("""COMPUTED_VALUE"""),45805.0)</f>
        <v>45805</v>
      </c>
      <c r="F1266" s="13">
        <f>IFERROR(__xludf.DUMMYFUNCTION("""COMPUTED_VALUE"""),45805.0)</f>
        <v>45805</v>
      </c>
      <c r="G1266" s="12"/>
      <c r="H1266" s="12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</row>
    <row r="1267">
      <c r="A1267" s="11" t="str">
        <f>IFERROR(__xludf.DUMMYFUNCTION("""COMPUTED_VALUE"""),"Green Dot Corp  Cl A")</f>
        <v>Green Dot Corp  Cl A</v>
      </c>
      <c r="B1267" s="12" t="str">
        <f>IFERROR(__xludf.DUMMYFUNCTION("""COMPUTED_VALUE"""),"GDOT-US")</f>
        <v>GDOT-US</v>
      </c>
      <c r="C1267" s="12"/>
      <c r="D1267" s="13">
        <f>IFERROR(__xludf.DUMMYFUNCTION("""COMPUTED_VALUE"""),45071.0)</f>
        <v>45071</v>
      </c>
      <c r="E1267" s="13">
        <f>IFERROR(__xludf.DUMMYFUNCTION("""COMPUTED_VALUE"""),45799.0)</f>
        <v>45799</v>
      </c>
      <c r="F1267" s="13">
        <f>IFERROR(__xludf.DUMMYFUNCTION("""COMPUTED_VALUE"""),45799.0)</f>
        <v>45799</v>
      </c>
      <c r="G1267" s="12"/>
      <c r="H1267" s="12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</row>
    <row r="1268">
      <c r="A1268" s="11" t="str">
        <f>IFERROR(__xludf.DUMMYFUNCTION("""COMPUTED_VALUE"""),"First Watch Restaurant Group  Com")</f>
        <v>First Watch Restaurant Group  Com</v>
      </c>
      <c r="B1268" s="12" t="str">
        <f>IFERROR(__xludf.DUMMYFUNCTION("""COMPUTED_VALUE"""),"FWRG-US")</f>
        <v>FWRG-US</v>
      </c>
      <c r="C1268" s="12"/>
      <c r="D1268" s="13">
        <f>IFERROR(__xludf.DUMMYFUNCTION("""COMPUTED_VALUE"""),45440.0)</f>
        <v>45440</v>
      </c>
      <c r="E1268" s="13">
        <f>IFERROR(__xludf.DUMMYFUNCTION("""COMPUTED_VALUE"""),45798.0)</f>
        <v>45798</v>
      </c>
      <c r="F1268" s="13">
        <f>IFERROR(__xludf.DUMMYFUNCTION("""COMPUTED_VALUE"""),45798.0)</f>
        <v>45798</v>
      </c>
      <c r="G1268" s="12"/>
      <c r="H1268" s="12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</row>
    <row r="1269">
      <c r="A1269" s="11" t="str">
        <f>IFERROR(__xludf.DUMMYFUNCTION("""COMPUTED_VALUE"""),"Honest Co Inc  Com")</f>
        <v>Honest Co Inc  Com</v>
      </c>
      <c r="B1269" s="12" t="str">
        <f>IFERROR(__xludf.DUMMYFUNCTION("""COMPUTED_VALUE"""),"HNST-US")</f>
        <v>HNST-US</v>
      </c>
      <c r="C1269" s="12"/>
      <c r="D1269" s="13">
        <f>IFERROR(__xludf.DUMMYFUNCTION("""COMPUTED_VALUE"""),45440.0)</f>
        <v>45440</v>
      </c>
      <c r="E1269" s="13">
        <f>IFERROR(__xludf.DUMMYFUNCTION("""COMPUTED_VALUE"""),45805.0)</f>
        <v>45805</v>
      </c>
      <c r="F1269" s="13">
        <f>IFERROR(__xludf.DUMMYFUNCTION("""COMPUTED_VALUE"""),45805.0)</f>
        <v>45805</v>
      </c>
      <c r="G1269" s="12"/>
      <c r="H1269" s="12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</row>
    <row r="1270">
      <c r="A1270" s="11" t="str">
        <f>IFERROR(__xludf.DUMMYFUNCTION("""COMPUTED_VALUE"""),"Rigel Pharmaceuticals Inc  Com")</f>
        <v>Rigel Pharmaceuticals Inc  Com</v>
      </c>
      <c r="B1270" s="12" t="str">
        <f>IFERROR(__xludf.DUMMYFUNCTION("""COMPUTED_VALUE"""),"RIGL-US")</f>
        <v>RIGL-US</v>
      </c>
      <c r="C1270" s="12"/>
      <c r="D1270" s="13">
        <f>IFERROR(__xludf.DUMMYFUNCTION("""COMPUTED_VALUE"""),45440.0)</f>
        <v>45440</v>
      </c>
      <c r="E1270" s="13">
        <f>IFERROR(__xludf.DUMMYFUNCTION("""COMPUTED_VALUE"""),45799.0)</f>
        <v>45799</v>
      </c>
      <c r="F1270" s="13">
        <f>IFERROR(__xludf.DUMMYFUNCTION("""COMPUTED_VALUE"""),45799.0)</f>
        <v>45799</v>
      </c>
      <c r="G1270" s="12"/>
      <c r="H1270" s="12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</row>
    <row r="1271">
      <c r="A1271" s="11" t="str">
        <f>IFERROR(__xludf.DUMMYFUNCTION("""COMPUTED_VALUE"""),"Mineralys Therapeutics Inc  Com")</f>
        <v>Mineralys Therapeutics Inc  Com</v>
      </c>
      <c r="B1271" s="12" t="str">
        <f>IFERROR(__xludf.DUMMYFUNCTION("""COMPUTED_VALUE"""),"MLYS-US")</f>
        <v>MLYS-US</v>
      </c>
      <c r="C1271" s="12"/>
      <c r="D1271" s="13">
        <f>IFERROR(__xludf.DUMMYFUNCTION("""COMPUTED_VALUE"""),45440.0)</f>
        <v>45440</v>
      </c>
      <c r="E1271" s="13">
        <f>IFERROR(__xludf.DUMMYFUNCTION("""COMPUTED_VALUE"""),45799.0)</f>
        <v>45799</v>
      </c>
      <c r="F1271" s="13">
        <f>IFERROR(__xludf.DUMMYFUNCTION("""COMPUTED_VALUE"""),45799.0)</f>
        <v>45799</v>
      </c>
      <c r="G1271" s="12"/>
      <c r="H1271" s="12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</row>
    <row r="1272">
      <c r="A1272" s="11" t="str">
        <f>IFERROR(__xludf.DUMMYFUNCTION("""COMPUTED_VALUE"""),"Vishay Precision Group Inc  Com")</f>
        <v>Vishay Precision Group Inc  Com</v>
      </c>
      <c r="B1272" s="12" t="str">
        <f>IFERROR(__xludf.DUMMYFUNCTION("""COMPUTED_VALUE"""),"VPG-US")</f>
        <v>VPG-US</v>
      </c>
      <c r="C1272" s="12"/>
      <c r="D1272" s="13">
        <f>IFERROR(__xludf.DUMMYFUNCTION("""COMPUTED_VALUE"""),45440.0)</f>
        <v>45440</v>
      </c>
      <c r="E1272" s="13">
        <f>IFERROR(__xludf.DUMMYFUNCTION("""COMPUTED_VALUE"""),45798.0)</f>
        <v>45798</v>
      </c>
      <c r="F1272" s="13">
        <f>IFERROR(__xludf.DUMMYFUNCTION("""COMPUTED_VALUE"""),45798.0)</f>
        <v>45798</v>
      </c>
      <c r="G1272" s="12"/>
      <c r="H1272" s="12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</row>
    <row r="1273">
      <c r="A1273" s="11" t="str">
        <f>IFERROR(__xludf.DUMMYFUNCTION("""COMPUTED_VALUE"""),"Solid Power Inc  Cl A")</f>
        <v>Solid Power Inc  Cl A</v>
      </c>
      <c r="B1273" s="12" t="str">
        <f>IFERROR(__xludf.DUMMYFUNCTION("""COMPUTED_VALUE"""),"SLDP-US")</f>
        <v>SLDP-US</v>
      </c>
      <c r="C1273" s="12"/>
      <c r="D1273" s="13">
        <f>IFERROR(__xludf.DUMMYFUNCTION("""COMPUTED_VALUE"""),45440.0)</f>
        <v>45440</v>
      </c>
      <c r="E1273" s="13">
        <f>IFERROR(__xludf.DUMMYFUNCTION("""COMPUTED_VALUE"""),45798.0)</f>
        <v>45798</v>
      </c>
      <c r="F1273" s="13">
        <f>IFERROR(__xludf.DUMMYFUNCTION("""COMPUTED_VALUE"""),45798.0)</f>
        <v>45798</v>
      </c>
      <c r="G1273" s="12"/>
      <c r="H1273" s="12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</row>
    <row r="1274">
      <c r="A1274" s="11" t="str">
        <f>IFERROR(__xludf.DUMMYFUNCTION("""COMPUTED_VALUE"""),"Lightwave Logic Inc  Com")</f>
        <v>Lightwave Logic Inc  Com</v>
      </c>
      <c r="B1274" s="12" t="str">
        <f>IFERROR(__xludf.DUMMYFUNCTION("""COMPUTED_VALUE"""),"LWLG-US")</f>
        <v>LWLG-US</v>
      </c>
      <c r="C1274" s="12"/>
      <c r="D1274" s="13">
        <f>IFERROR(__xludf.DUMMYFUNCTION("""COMPUTED_VALUE"""),45440.0)</f>
        <v>45440</v>
      </c>
      <c r="E1274" s="13">
        <f>IFERROR(__xludf.DUMMYFUNCTION("""COMPUTED_VALUE"""),45792.0)</f>
        <v>45792</v>
      </c>
      <c r="F1274" s="13">
        <f>IFERROR(__xludf.DUMMYFUNCTION("""COMPUTED_VALUE"""),45792.0)</f>
        <v>45792</v>
      </c>
      <c r="G1274" s="12"/>
      <c r="H1274" s="12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</row>
    <row r="1275">
      <c r="A1275" s="11" t="str">
        <f>IFERROR(__xludf.DUMMYFUNCTION("""COMPUTED_VALUE"""),"Ares Commercial Real Estate Corp Com")</f>
        <v>Ares Commercial Real Estate Corp Com</v>
      </c>
      <c r="B1275" s="12" t="str">
        <f>IFERROR(__xludf.DUMMYFUNCTION("""COMPUTED_VALUE"""),"ACRE-US")</f>
        <v>ACRE-US</v>
      </c>
      <c r="C1275" s="12"/>
      <c r="D1275" s="13">
        <f>IFERROR(__xludf.DUMMYFUNCTION("""COMPUTED_VALUE"""),45440.0)</f>
        <v>45440</v>
      </c>
      <c r="E1275" s="13">
        <f>IFERROR(__xludf.DUMMYFUNCTION("""COMPUTED_VALUE"""),45804.0)</f>
        <v>45804</v>
      </c>
      <c r="F1275" s="13">
        <f>IFERROR(__xludf.DUMMYFUNCTION("""COMPUTED_VALUE"""),45804.0)</f>
        <v>45804</v>
      </c>
      <c r="G1275" s="12"/>
      <c r="H1275" s="12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</row>
    <row r="1276">
      <c r="A1276" s="11" t="str">
        <f>IFERROR(__xludf.DUMMYFUNCTION("""COMPUTED_VALUE"""),"Sierra Bancorp  Com")</f>
        <v>Sierra Bancorp  Com</v>
      </c>
      <c r="B1276" s="12" t="str">
        <f>IFERROR(__xludf.DUMMYFUNCTION("""COMPUTED_VALUE"""),"BSRR-US")</f>
        <v>BSRR-US</v>
      </c>
      <c r="C1276" s="12"/>
      <c r="D1276" s="13">
        <f>IFERROR(__xludf.DUMMYFUNCTION("""COMPUTED_VALUE"""),45440.0)</f>
        <v>45440</v>
      </c>
      <c r="E1276" s="13">
        <f>IFERROR(__xludf.DUMMYFUNCTION("""COMPUTED_VALUE"""),45798.0)</f>
        <v>45798</v>
      </c>
      <c r="F1276" s="13">
        <f>IFERROR(__xludf.DUMMYFUNCTION("""COMPUTED_VALUE"""),45798.0)</f>
        <v>45798</v>
      </c>
      <c r="G1276" s="12"/>
      <c r="H1276" s="12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</row>
    <row r="1277">
      <c r="A1277" s="11" t="str">
        <f>IFERROR(__xludf.DUMMYFUNCTION("""COMPUTED_VALUE"""),"Inspired Entertainment Inc  Com")</f>
        <v>Inspired Entertainment Inc  Com</v>
      </c>
      <c r="B1277" s="12" t="str">
        <f>IFERROR(__xludf.DUMMYFUNCTION("""COMPUTED_VALUE"""),"INSE-US")</f>
        <v>INSE-US</v>
      </c>
      <c r="C1277" s="12"/>
      <c r="D1277" s="13">
        <f>IFERROR(__xludf.DUMMYFUNCTION("""COMPUTED_VALUE"""),45440.0)</f>
        <v>45440</v>
      </c>
      <c r="E1277" s="13">
        <f>IFERROR(__xludf.DUMMYFUNCTION("""COMPUTED_VALUE"""),45804.0)</f>
        <v>45804</v>
      </c>
      <c r="F1277" s="13">
        <f>IFERROR(__xludf.DUMMYFUNCTION("""COMPUTED_VALUE"""),45804.0)</f>
        <v>45804</v>
      </c>
      <c r="G1277" s="12"/>
      <c r="H1277" s="12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</row>
    <row r="1278">
      <c r="A1278" s="11" t="str">
        <f>IFERROR(__xludf.DUMMYFUNCTION("""COMPUTED_VALUE"""),"Definitive Healthcare Corp  Cl A")</f>
        <v>Definitive Healthcare Corp  Cl A</v>
      </c>
      <c r="B1278" s="12" t="str">
        <f>IFERROR(__xludf.DUMMYFUNCTION("""COMPUTED_VALUE"""),"DH-US")</f>
        <v>DH-US</v>
      </c>
      <c r="C1278" s="12"/>
      <c r="D1278" s="13">
        <f>IFERROR(__xludf.DUMMYFUNCTION("""COMPUTED_VALUE"""),45440.0)</f>
        <v>45440</v>
      </c>
      <c r="E1278" s="13">
        <f>IFERROR(__xludf.DUMMYFUNCTION("""COMPUTED_VALUE"""),45813.0)</f>
        <v>45813</v>
      </c>
      <c r="F1278" s="13">
        <f>IFERROR(__xludf.DUMMYFUNCTION("""COMPUTED_VALUE"""),45813.0)</f>
        <v>45813</v>
      </c>
      <c r="G1278" s="12"/>
      <c r="H1278" s="12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</row>
    <row r="1279">
      <c r="A1279" s="11" t="str">
        <f>IFERROR(__xludf.DUMMYFUNCTION("""COMPUTED_VALUE"""),"Ttec Holdings Inc  Com")</f>
        <v>Ttec Holdings Inc  Com</v>
      </c>
      <c r="B1279" s="12" t="str">
        <f>IFERROR(__xludf.DUMMYFUNCTION("""COMPUTED_VALUE"""),"TTEC-US")</f>
        <v>TTEC-US</v>
      </c>
      <c r="C1279" s="12"/>
      <c r="D1279" s="13">
        <f>IFERROR(__xludf.DUMMYFUNCTION("""COMPUTED_VALUE"""),45440.0)</f>
        <v>45440</v>
      </c>
      <c r="E1279" s="13">
        <f>IFERROR(__xludf.DUMMYFUNCTION("""COMPUTED_VALUE"""),45799.0)</f>
        <v>45799</v>
      </c>
      <c r="F1279" s="13">
        <f>IFERROR(__xludf.DUMMYFUNCTION("""COMPUTED_VALUE"""),45799.0)</f>
        <v>45799</v>
      </c>
      <c r="G1279" s="12"/>
      <c r="H1279" s="12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</row>
    <row r="1280">
      <c r="A1280" s="11" t="str">
        <f>IFERROR(__xludf.DUMMYFUNCTION("""COMPUTED_VALUE"""),"Jpmorgan Chase &amp; Co  Com")</f>
        <v>Jpmorgan Chase &amp; Co  Com</v>
      </c>
      <c r="B1280" s="12" t="str">
        <f>IFERROR(__xludf.DUMMYFUNCTION("""COMPUTED_VALUE"""),"JPM-US")</f>
        <v>JPM-US</v>
      </c>
      <c r="C1280" s="12"/>
      <c r="D1280" s="13">
        <f>IFERROR(__xludf.DUMMYFUNCTION("""COMPUTED_VALUE"""),45441.0)</f>
        <v>45441</v>
      </c>
      <c r="E1280" s="13">
        <f>IFERROR(__xludf.DUMMYFUNCTION("""COMPUTED_VALUE"""),45797.0)</f>
        <v>45797</v>
      </c>
      <c r="F1280" s="13">
        <f>IFERROR(__xludf.DUMMYFUNCTION("""COMPUTED_VALUE"""),45797.0)</f>
        <v>45797</v>
      </c>
      <c r="G1280" s="12"/>
      <c r="H1280" s="12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</row>
    <row r="1281">
      <c r="A1281" s="11" t="str">
        <f>IFERROR(__xludf.DUMMYFUNCTION("""COMPUTED_VALUE"""),"Ge Healthcare Technologies  Com Wi")</f>
        <v>Ge Healthcare Technologies  Com Wi</v>
      </c>
      <c r="B1281" s="12" t="str">
        <f>IFERROR(__xludf.DUMMYFUNCTION("""COMPUTED_VALUE"""),"GEHC-US")</f>
        <v>GEHC-US</v>
      </c>
      <c r="C1281" s="12"/>
      <c r="D1281" s="13">
        <f>IFERROR(__xludf.DUMMYFUNCTION("""COMPUTED_VALUE"""),45441.0)</f>
        <v>45441</v>
      </c>
      <c r="E1281" s="13">
        <f>IFERROR(__xludf.DUMMYFUNCTION("""COMPUTED_VALUE"""),45805.0)</f>
        <v>45805</v>
      </c>
      <c r="F1281" s="13">
        <f>IFERROR(__xludf.DUMMYFUNCTION("""COMPUTED_VALUE"""),45805.0)</f>
        <v>45805</v>
      </c>
      <c r="G1281" s="12"/>
      <c r="H1281" s="12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</row>
    <row r="1282">
      <c r="A1282" s="11" t="str">
        <f>IFERROR(__xludf.DUMMYFUNCTION("""COMPUTED_VALUE"""),"Veralto Corp  Com")</f>
        <v>Veralto Corp  Com</v>
      </c>
      <c r="B1282" s="12" t="str">
        <f>IFERROR(__xludf.DUMMYFUNCTION("""COMPUTED_VALUE"""),"VLTO-US")</f>
        <v>VLTO-US</v>
      </c>
      <c r="C1282" s="12"/>
      <c r="D1282" s="13">
        <f>IFERROR(__xludf.DUMMYFUNCTION("""COMPUTED_VALUE"""),45441.0)</f>
        <v>45441</v>
      </c>
      <c r="E1282" s="13">
        <f>IFERROR(__xludf.DUMMYFUNCTION("""COMPUTED_VALUE"""),45791.0)</f>
        <v>45791</v>
      </c>
      <c r="F1282" s="13">
        <f>IFERROR(__xludf.DUMMYFUNCTION("""COMPUTED_VALUE"""),45791.0)</f>
        <v>45791</v>
      </c>
      <c r="G1282" s="12"/>
      <c r="H1282" s="12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</row>
    <row r="1283">
      <c r="A1283" s="11" t="str">
        <f>IFERROR(__xludf.DUMMYFUNCTION("""COMPUTED_VALUE"""),"Cdw Corp  Com")</f>
        <v>Cdw Corp  Com</v>
      </c>
      <c r="B1283" s="12" t="str">
        <f>IFERROR(__xludf.DUMMYFUNCTION("""COMPUTED_VALUE"""),"CDW-US")</f>
        <v>CDW-US</v>
      </c>
      <c r="C1283" s="12"/>
      <c r="D1283" s="13">
        <f>IFERROR(__xludf.DUMMYFUNCTION("""COMPUTED_VALUE"""),45441.0)</f>
        <v>45441</v>
      </c>
      <c r="E1283" s="13">
        <f>IFERROR(__xludf.DUMMYFUNCTION("""COMPUTED_VALUE"""),45797.0)</f>
        <v>45797</v>
      </c>
      <c r="F1283" s="13">
        <f>IFERROR(__xludf.DUMMYFUNCTION("""COMPUTED_VALUE"""),45797.0)</f>
        <v>45797</v>
      </c>
      <c r="G1283" s="12"/>
      <c r="H1283" s="12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</row>
    <row r="1284">
      <c r="A1284" s="11" t="str">
        <f>IFERROR(__xludf.DUMMYFUNCTION("""COMPUTED_VALUE"""),"Principal Financial Group Inc  Com")</f>
        <v>Principal Financial Group Inc  Com</v>
      </c>
      <c r="B1284" s="12" t="str">
        <f>IFERROR(__xludf.DUMMYFUNCTION("""COMPUTED_VALUE"""),"PFG-US")</f>
        <v>PFG-US</v>
      </c>
      <c r="C1284" s="12"/>
      <c r="D1284" s="13">
        <f>IFERROR(__xludf.DUMMYFUNCTION("""COMPUTED_VALUE"""),45441.0)</f>
        <v>45441</v>
      </c>
      <c r="E1284" s="13">
        <f>IFERROR(__xludf.DUMMYFUNCTION("""COMPUTED_VALUE"""),45797.0)</f>
        <v>45797</v>
      </c>
      <c r="F1284" s="13">
        <f>IFERROR(__xludf.DUMMYFUNCTION("""COMPUTED_VALUE"""),45797.0)</f>
        <v>45797</v>
      </c>
      <c r="G1284" s="12"/>
      <c r="H1284" s="12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</row>
    <row r="1285">
      <c r="A1285" s="11" t="str">
        <f>IFERROR(__xludf.DUMMYFUNCTION("""COMPUTED_VALUE"""),"Mid America Apt Communities  Com")</f>
        <v>Mid America Apt Communities  Com</v>
      </c>
      <c r="B1285" s="12" t="str">
        <f>IFERROR(__xludf.DUMMYFUNCTION("""COMPUTED_VALUE"""),"MAA-US")</f>
        <v>MAA-US</v>
      </c>
      <c r="C1285" s="12"/>
      <c r="D1285" s="13">
        <f>IFERROR(__xludf.DUMMYFUNCTION("""COMPUTED_VALUE"""),45441.0)</f>
        <v>45441</v>
      </c>
      <c r="E1285" s="13">
        <f>IFERROR(__xludf.DUMMYFUNCTION("""COMPUTED_VALUE"""),45797.0)</f>
        <v>45797</v>
      </c>
      <c r="F1285" s="13">
        <f>IFERROR(__xludf.DUMMYFUNCTION("""COMPUTED_VALUE"""),45797.0)</f>
        <v>45797</v>
      </c>
      <c r="G1285" s="12"/>
      <c r="H1285" s="12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</row>
    <row r="1286">
      <c r="A1286" s="11" t="str">
        <f>IFERROR(__xludf.DUMMYFUNCTION("""COMPUTED_VALUE"""),"Sofi Technologies Inc  Com")</f>
        <v>Sofi Technologies Inc  Com</v>
      </c>
      <c r="B1286" s="12" t="str">
        <f>IFERROR(__xludf.DUMMYFUNCTION("""COMPUTED_VALUE"""),"SOFI-US")</f>
        <v>SOFI-US</v>
      </c>
      <c r="C1286" s="12"/>
      <c r="D1286" s="13">
        <f>IFERROR(__xludf.DUMMYFUNCTION("""COMPUTED_VALUE"""),45441.0)</f>
        <v>45441</v>
      </c>
      <c r="E1286" s="13">
        <f>IFERROR(__xludf.DUMMYFUNCTION("""COMPUTED_VALUE"""),45805.0)</f>
        <v>45805</v>
      </c>
      <c r="F1286" s="13">
        <f>IFERROR(__xludf.DUMMYFUNCTION("""COMPUTED_VALUE"""),45805.0)</f>
        <v>45805</v>
      </c>
      <c r="G1286" s="12"/>
      <c r="H1286" s="12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</row>
    <row r="1287">
      <c r="A1287" s="11" t="str">
        <f>IFERROR(__xludf.DUMMYFUNCTION("""COMPUTED_VALUE"""),"Biomarin Pharmaceutical Inc  Com")</f>
        <v>Biomarin Pharmaceutical Inc  Com</v>
      </c>
      <c r="B1287" s="12" t="str">
        <f>IFERROR(__xludf.DUMMYFUNCTION("""COMPUTED_VALUE"""),"BMRN-US")</f>
        <v>BMRN-US</v>
      </c>
      <c r="C1287" s="12"/>
      <c r="D1287" s="13">
        <f>IFERROR(__xludf.DUMMYFUNCTION("""COMPUTED_VALUE"""),45441.0)</f>
        <v>45441</v>
      </c>
      <c r="E1287" s="13">
        <f>IFERROR(__xludf.DUMMYFUNCTION("""COMPUTED_VALUE"""),45797.0)</f>
        <v>45797</v>
      </c>
      <c r="F1287" s="13">
        <f>IFERROR(__xludf.DUMMYFUNCTION("""COMPUTED_VALUE"""),45797.0)</f>
        <v>45797</v>
      </c>
      <c r="G1287" s="12"/>
      <c r="H1287" s="12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</row>
    <row r="1288">
      <c r="A1288" s="11" t="str">
        <f>IFERROR(__xludf.DUMMYFUNCTION("""COMPUTED_VALUE"""),"Henry Schein Inc  Com")</f>
        <v>Henry Schein Inc  Com</v>
      </c>
      <c r="B1288" s="12" t="str">
        <f>IFERROR(__xludf.DUMMYFUNCTION("""COMPUTED_VALUE"""),"HSIC-US")</f>
        <v>HSIC-US</v>
      </c>
      <c r="C1288" s="12"/>
      <c r="D1288" s="13">
        <f>IFERROR(__xludf.DUMMYFUNCTION("""COMPUTED_VALUE"""),45441.0)</f>
        <v>45441</v>
      </c>
      <c r="E1288" s="13">
        <f>IFERROR(__xludf.DUMMYFUNCTION("""COMPUTED_VALUE"""),45799.0)</f>
        <v>45799</v>
      </c>
      <c r="F1288" s="13">
        <f>IFERROR(__xludf.DUMMYFUNCTION("""COMPUTED_VALUE"""),45799.0)</f>
        <v>45799</v>
      </c>
      <c r="G1288" s="12"/>
      <c r="H1288" s="12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</row>
    <row r="1289">
      <c r="A1289" s="11" t="str">
        <f>IFERROR(__xludf.DUMMYFUNCTION("""COMPUTED_VALUE"""),"Cubesmart  Com")</f>
        <v>Cubesmart  Com</v>
      </c>
      <c r="B1289" s="12" t="str">
        <f>IFERROR(__xludf.DUMMYFUNCTION("""COMPUTED_VALUE"""),"CUBE-US")</f>
        <v>CUBE-US</v>
      </c>
      <c r="C1289" s="12"/>
      <c r="D1289" s="13">
        <f>IFERROR(__xludf.DUMMYFUNCTION("""COMPUTED_VALUE"""),45441.0)</f>
        <v>45441</v>
      </c>
      <c r="E1289" s="13">
        <f>IFERROR(__xludf.DUMMYFUNCTION("""COMPUTED_VALUE"""),45797.0)</f>
        <v>45797</v>
      </c>
      <c r="F1289" s="13">
        <f>IFERROR(__xludf.DUMMYFUNCTION("""COMPUTED_VALUE"""),45797.0)</f>
        <v>45797</v>
      </c>
      <c r="G1289" s="12"/>
      <c r="H1289" s="12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</row>
    <row r="1290">
      <c r="A1290" s="11" t="str">
        <f>IFERROR(__xludf.DUMMYFUNCTION("""COMPUTED_VALUE"""),"Chart Industries Inc  Com")</f>
        <v>Chart Industries Inc  Com</v>
      </c>
      <c r="B1290" s="12" t="str">
        <f>IFERROR(__xludf.DUMMYFUNCTION("""COMPUTED_VALUE"""),"GTLS-US")</f>
        <v>GTLS-US</v>
      </c>
      <c r="C1290" s="12"/>
      <c r="D1290" s="13">
        <f>IFERROR(__xludf.DUMMYFUNCTION("""COMPUTED_VALUE"""),45441.0)</f>
        <v>45441</v>
      </c>
      <c r="E1290" s="13">
        <f>IFERROR(__xludf.DUMMYFUNCTION("""COMPUTED_VALUE"""),45797.0)</f>
        <v>45797</v>
      </c>
      <c r="F1290" s="13">
        <f>IFERROR(__xludf.DUMMYFUNCTION("""COMPUTED_VALUE"""),45797.0)</f>
        <v>45797</v>
      </c>
      <c r="G1290" s="12"/>
      <c r="H1290" s="12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</row>
    <row r="1291">
      <c r="A1291" s="11" t="str">
        <f>IFERROR(__xludf.DUMMYFUNCTION("""COMPUTED_VALUE"""),"Aaon Inc  Com")</f>
        <v>Aaon Inc  Com</v>
      </c>
      <c r="B1291" s="12" t="str">
        <f>IFERROR(__xludf.DUMMYFUNCTION("""COMPUTED_VALUE"""),"AAON-US")</f>
        <v>AAON-US</v>
      </c>
      <c r="C1291" s="12"/>
      <c r="D1291" s="13">
        <f>IFERROR(__xludf.DUMMYFUNCTION("""COMPUTED_VALUE"""),45441.0)</f>
        <v>45441</v>
      </c>
      <c r="E1291" s="13">
        <f>IFERROR(__xludf.DUMMYFUNCTION("""COMPUTED_VALUE"""),45790.0)</f>
        <v>45790</v>
      </c>
      <c r="F1291" s="13">
        <f>IFERROR(__xludf.DUMMYFUNCTION("""COMPUTED_VALUE"""),45790.0)</f>
        <v>45790</v>
      </c>
      <c r="G1291" s="12"/>
      <c r="H1291" s="12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</row>
    <row r="1292">
      <c r="A1292" s="11" t="str">
        <f>IFERROR(__xludf.DUMMYFUNCTION("""COMPUTED_VALUE"""),"First American Financial Corp  Com")</f>
        <v>First American Financial Corp  Com</v>
      </c>
      <c r="B1292" s="12" t="str">
        <f>IFERROR(__xludf.DUMMYFUNCTION("""COMPUTED_VALUE"""),"FAF-US")</f>
        <v>FAF-US</v>
      </c>
      <c r="C1292" s="12"/>
      <c r="D1292" s="13">
        <f>IFERROR(__xludf.DUMMYFUNCTION("""COMPUTED_VALUE"""),45441.0)</f>
        <v>45441</v>
      </c>
      <c r="E1292" s="13">
        <f>IFERROR(__xludf.DUMMYFUNCTION("""COMPUTED_VALUE"""),45790.0)</f>
        <v>45790</v>
      </c>
      <c r="F1292" s="13">
        <f>IFERROR(__xludf.DUMMYFUNCTION("""COMPUTED_VALUE"""),45790.0)</f>
        <v>45790</v>
      </c>
      <c r="G1292" s="12"/>
      <c r="H1292" s="12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</row>
    <row r="1293">
      <c r="A1293" s="11" t="str">
        <f>IFERROR(__xludf.DUMMYFUNCTION("""COMPUTED_VALUE"""),"Healthcare Realty Trust Inc  Cl A")</f>
        <v>Healthcare Realty Trust Inc  Cl A</v>
      </c>
      <c r="B1293" s="12" t="str">
        <f>IFERROR(__xludf.DUMMYFUNCTION("""COMPUTED_VALUE"""),"HR-US")</f>
        <v>HR-US</v>
      </c>
      <c r="C1293" s="12"/>
      <c r="D1293" s="13">
        <f>IFERROR(__xludf.DUMMYFUNCTION("""COMPUTED_VALUE"""),45441.0)</f>
        <v>45441</v>
      </c>
      <c r="E1293" s="13">
        <f>IFERROR(__xludf.DUMMYFUNCTION("""COMPUTED_VALUE"""),45797.0)</f>
        <v>45797</v>
      </c>
      <c r="F1293" s="13">
        <f>IFERROR(__xludf.DUMMYFUNCTION("""COMPUTED_VALUE"""),45797.0)</f>
        <v>45797</v>
      </c>
      <c r="G1293" s="12"/>
      <c r="H1293" s="12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</row>
    <row r="1294">
      <c r="A1294" s="11" t="str">
        <f>IFERROR(__xludf.DUMMYFUNCTION("""COMPUTED_VALUE"""),"Gxo Logistics Inc  Com")</f>
        <v>Gxo Logistics Inc  Com</v>
      </c>
      <c r="B1294" s="12" t="str">
        <f>IFERROR(__xludf.DUMMYFUNCTION("""COMPUTED_VALUE"""),"GXO-US")</f>
        <v>GXO-US</v>
      </c>
      <c r="C1294" s="12"/>
      <c r="D1294" s="13">
        <f>IFERROR(__xludf.DUMMYFUNCTION("""COMPUTED_VALUE"""),45441.0)</f>
        <v>45441</v>
      </c>
      <c r="E1294" s="13">
        <f>IFERROR(__xludf.DUMMYFUNCTION("""COMPUTED_VALUE"""),45790.0)</f>
        <v>45790</v>
      </c>
      <c r="F1294" s="13">
        <f>IFERROR(__xludf.DUMMYFUNCTION("""COMPUTED_VALUE"""),45790.0)</f>
        <v>45790</v>
      </c>
      <c r="G1294" s="12"/>
      <c r="H1294" s="12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</row>
    <row r="1295">
      <c r="A1295" s="11" t="str">
        <f>IFERROR(__xludf.DUMMYFUNCTION("""COMPUTED_VALUE"""),"Noble Corp Plc  Cl A")</f>
        <v>Noble Corp Plc  Cl A</v>
      </c>
      <c r="B1295" s="12" t="str">
        <f>IFERROR(__xludf.DUMMYFUNCTION("""COMPUTED_VALUE"""),"NE-US")</f>
        <v>NE-US</v>
      </c>
      <c r="C1295" s="12"/>
      <c r="D1295" s="13">
        <f>IFERROR(__xludf.DUMMYFUNCTION("""COMPUTED_VALUE"""),45441.0)</f>
        <v>45441</v>
      </c>
      <c r="E1295" s="13">
        <f>IFERROR(__xludf.DUMMYFUNCTION("""COMPUTED_VALUE"""),45785.0)</f>
        <v>45785</v>
      </c>
      <c r="F1295" s="13">
        <f>IFERROR(__xludf.DUMMYFUNCTION("""COMPUTED_VALUE"""),45785.0)</f>
        <v>45785</v>
      </c>
      <c r="G1295" s="12"/>
      <c r="H1295" s="12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</row>
    <row r="1296">
      <c r="A1296" s="11" t="str">
        <f>IFERROR(__xludf.DUMMYFUNCTION("""COMPUTED_VALUE"""),"Kratos Defense &amp; Sec Sol Inc   Com")</f>
        <v>Kratos Defense &amp; Sec Sol Inc   Com</v>
      </c>
      <c r="B1296" s="12" t="str">
        <f>IFERROR(__xludf.DUMMYFUNCTION("""COMPUTED_VALUE"""),"KTOS-US")</f>
        <v>KTOS-US</v>
      </c>
      <c r="C1296" s="12"/>
      <c r="D1296" s="13">
        <f>IFERROR(__xludf.DUMMYFUNCTION("""COMPUTED_VALUE"""),45441.0)</f>
        <v>45441</v>
      </c>
      <c r="E1296" s="13">
        <f>IFERROR(__xludf.DUMMYFUNCTION("""COMPUTED_VALUE"""),45791.0)</f>
        <v>45791</v>
      </c>
      <c r="F1296" s="13">
        <f>IFERROR(__xludf.DUMMYFUNCTION("""COMPUTED_VALUE"""),45791.0)</f>
        <v>45791</v>
      </c>
      <c r="G1296" s="12"/>
      <c r="H1296" s="12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</row>
    <row r="1297">
      <c r="A1297" s="11" t="str">
        <f>IFERROR(__xludf.DUMMYFUNCTION("""COMPUTED_VALUE"""),"Viking Therapeutics Inc  Com")</f>
        <v>Viking Therapeutics Inc  Com</v>
      </c>
      <c r="B1297" s="12" t="str">
        <f>IFERROR(__xludf.DUMMYFUNCTION("""COMPUTED_VALUE"""),"VKTX-US")</f>
        <v>VKTX-US</v>
      </c>
      <c r="C1297" s="12"/>
      <c r="D1297" s="13">
        <f>IFERROR(__xludf.DUMMYFUNCTION("""COMPUTED_VALUE"""),45441.0)</f>
        <v>45441</v>
      </c>
      <c r="E1297" s="13">
        <f>IFERROR(__xludf.DUMMYFUNCTION("""COMPUTED_VALUE"""),45797.0)</f>
        <v>45797</v>
      </c>
      <c r="F1297" s="13">
        <f>IFERROR(__xludf.DUMMYFUNCTION("""COMPUTED_VALUE"""),45797.0)</f>
        <v>45797</v>
      </c>
      <c r="G1297" s="12"/>
      <c r="H1297" s="12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</row>
    <row r="1298">
      <c r="A1298" s="11" t="str">
        <f>IFERROR(__xludf.DUMMYFUNCTION("""COMPUTED_VALUE"""),"Valley National Bancorp  Com")</f>
        <v>Valley National Bancorp  Com</v>
      </c>
      <c r="B1298" s="12" t="str">
        <f>IFERROR(__xludf.DUMMYFUNCTION("""COMPUTED_VALUE"""),"VLY-US")</f>
        <v>VLY-US</v>
      </c>
      <c r="C1298" s="12"/>
      <c r="D1298" s="13">
        <f>IFERROR(__xludf.DUMMYFUNCTION("""COMPUTED_VALUE"""),45441.0)</f>
        <v>45441</v>
      </c>
      <c r="E1298" s="13">
        <f>IFERROR(__xludf.DUMMYFUNCTION("""COMPUTED_VALUE"""),45797.0)</f>
        <v>45797</v>
      </c>
      <c r="F1298" s="13">
        <f>IFERROR(__xludf.DUMMYFUNCTION("""COMPUTED_VALUE"""),45797.0)</f>
        <v>45797</v>
      </c>
      <c r="G1298" s="12"/>
      <c r="H1298" s="12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</row>
    <row r="1299">
      <c r="A1299" s="11" t="str">
        <f>IFERROR(__xludf.DUMMYFUNCTION("""COMPUTED_VALUE"""),"Insight Enterprises Inc  Com")</f>
        <v>Insight Enterprises Inc  Com</v>
      </c>
      <c r="B1299" s="12" t="str">
        <f>IFERROR(__xludf.DUMMYFUNCTION("""COMPUTED_VALUE"""),"NSIT-US")</f>
        <v>NSIT-US</v>
      </c>
      <c r="C1299" s="12"/>
      <c r="D1299" s="13">
        <f>IFERROR(__xludf.DUMMYFUNCTION("""COMPUTED_VALUE"""),45441.0)</f>
        <v>45441</v>
      </c>
      <c r="E1299" s="13">
        <f>IFERROR(__xludf.DUMMYFUNCTION("""COMPUTED_VALUE"""),45790.0)</f>
        <v>45790</v>
      </c>
      <c r="F1299" s="13">
        <f>IFERROR(__xludf.DUMMYFUNCTION("""COMPUTED_VALUE"""),45790.0)</f>
        <v>45790</v>
      </c>
      <c r="G1299" s="12"/>
      <c r="H1299" s="12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</row>
    <row r="1300">
      <c r="A1300" s="11" t="str">
        <f>IFERROR(__xludf.DUMMYFUNCTION("""COMPUTED_VALUE"""),"Iridium Communications Inc  Com")</f>
        <v>Iridium Communications Inc  Com</v>
      </c>
      <c r="B1300" s="12" t="str">
        <f>IFERROR(__xludf.DUMMYFUNCTION("""COMPUTED_VALUE"""),"IRDM-US")</f>
        <v>IRDM-US</v>
      </c>
      <c r="C1300" s="12"/>
      <c r="D1300" s="13">
        <f>IFERROR(__xludf.DUMMYFUNCTION("""COMPUTED_VALUE"""),45441.0)</f>
        <v>45441</v>
      </c>
      <c r="E1300" s="13">
        <f>IFERROR(__xludf.DUMMYFUNCTION("""COMPUTED_VALUE"""),45791.0)</f>
        <v>45791</v>
      </c>
      <c r="F1300" s="13">
        <f>IFERROR(__xludf.DUMMYFUNCTION("""COMPUTED_VALUE"""),45791.0)</f>
        <v>45791</v>
      </c>
      <c r="G1300" s="12"/>
      <c r="H1300" s="12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</row>
    <row r="1301">
      <c r="A1301" s="11" t="str">
        <f>IFERROR(__xludf.DUMMYFUNCTION("""COMPUTED_VALUE"""),"Rush Enterprises Inc  Cl A")</f>
        <v>Rush Enterprises Inc  Cl A</v>
      </c>
      <c r="B1301" s="12" t="str">
        <f>IFERROR(__xludf.DUMMYFUNCTION("""COMPUTED_VALUE"""),"RUSHA-US")</f>
        <v>RUSHA-US</v>
      </c>
      <c r="C1301" s="12"/>
      <c r="D1301" s="13">
        <f>IFERROR(__xludf.DUMMYFUNCTION("""COMPUTED_VALUE"""),45441.0)</f>
        <v>45441</v>
      </c>
      <c r="E1301" s="13">
        <f>IFERROR(__xludf.DUMMYFUNCTION("""COMPUTED_VALUE"""),45797.0)</f>
        <v>45797</v>
      </c>
      <c r="F1301" s="13">
        <f>IFERROR(__xludf.DUMMYFUNCTION("""COMPUTED_VALUE"""),45797.0)</f>
        <v>45797</v>
      </c>
      <c r="G1301" s="12"/>
      <c r="H1301" s="12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</row>
    <row r="1302">
      <c r="A1302" s="11" t="str">
        <f>IFERROR(__xludf.DUMMYFUNCTION("""COMPUTED_VALUE"""),"Mge Energy Inc  Com")</f>
        <v>Mge Energy Inc  Com</v>
      </c>
      <c r="B1302" s="12" t="str">
        <f>IFERROR(__xludf.DUMMYFUNCTION("""COMPUTED_VALUE"""),"MGEE-US")</f>
        <v>MGEE-US</v>
      </c>
      <c r="C1302" s="12"/>
      <c r="D1302" s="13">
        <f>IFERROR(__xludf.DUMMYFUNCTION("""COMPUTED_VALUE"""),45441.0)</f>
        <v>45441</v>
      </c>
      <c r="E1302" s="13">
        <f>IFERROR(__xludf.DUMMYFUNCTION("""COMPUTED_VALUE"""),45797.0)</f>
        <v>45797</v>
      </c>
      <c r="F1302" s="13">
        <f>IFERROR(__xludf.DUMMYFUNCTION("""COMPUTED_VALUE"""),45797.0)</f>
        <v>45797</v>
      </c>
      <c r="G1302" s="12"/>
      <c r="H1302" s="12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</row>
    <row r="1303">
      <c r="A1303" s="11" t="str">
        <f>IFERROR(__xludf.DUMMYFUNCTION("""COMPUTED_VALUE"""),"Envista Holdings Corp  Com")</f>
        <v>Envista Holdings Corp  Com</v>
      </c>
      <c r="B1303" s="12" t="str">
        <f>IFERROR(__xludf.DUMMYFUNCTION("""COMPUTED_VALUE"""),"NVST-US")</f>
        <v>NVST-US</v>
      </c>
      <c r="C1303" s="12"/>
      <c r="D1303" s="13">
        <f>IFERROR(__xludf.DUMMYFUNCTION("""COMPUTED_VALUE"""),45441.0)</f>
        <v>45441</v>
      </c>
      <c r="E1303" s="13">
        <f>IFERROR(__xludf.DUMMYFUNCTION("""COMPUTED_VALUE"""),45818.0)</f>
        <v>45818</v>
      </c>
      <c r="F1303" s="13">
        <f>IFERROR(__xludf.DUMMYFUNCTION("""COMPUTED_VALUE"""),45818.0)</f>
        <v>45818</v>
      </c>
      <c r="G1303" s="12"/>
      <c r="H1303" s="12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</row>
    <row r="1304">
      <c r="A1304" s="11" t="str">
        <f>IFERROR(__xludf.DUMMYFUNCTION("""COMPUTED_VALUE"""),"American States Water Co  Com")</f>
        <v>American States Water Co  Com</v>
      </c>
      <c r="B1304" s="12" t="str">
        <f>IFERROR(__xludf.DUMMYFUNCTION("""COMPUTED_VALUE"""),"AWR-US")</f>
        <v>AWR-US</v>
      </c>
      <c r="C1304" s="12"/>
      <c r="D1304" s="13">
        <f>IFERROR(__xludf.DUMMYFUNCTION("""COMPUTED_VALUE"""),45441.0)</f>
        <v>45441</v>
      </c>
      <c r="E1304" s="13">
        <f>IFERROR(__xludf.DUMMYFUNCTION("""COMPUTED_VALUE"""),45797.0)</f>
        <v>45797</v>
      </c>
      <c r="F1304" s="13">
        <f>IFERROR(__xludf.DUMMYFUNCTION("""COMPUTED_VALUE"""),45797.0)</f>
        <v>45797</v>
      </c>
      <c r="G1304" s="12"/>
      <c r="H1304" s="12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</row>
    <row r="1305">
      <c r="A1305" s="11" t="str">
        <f>IFERROR(__xludf.DUMMYFUNCTION("""COMPUTED_VALUE"""),"Wendys Co  Com")</f>
        <v>Wendys Co  Com</v>
      </c>
      <c r="B1305" s="12" t="str">
        <f>IFERROR(__xludf.DUMMYFUNCTION("""COMPUTED_VALUE"""),"WEN-US")</f>
        <v>WEN-US</v>
      </c>
      <c r="C1305" s="12"/>
      <c r="D1305" s="13">
        <f>IFERROR(__xludf.DUMMYFUNCTION("""COMPUTED_VALUE"""),45441.0)</f>
        <v>45441</v>
      </c>
      <c r="E1305" s="13">
        <f>IFERROR(__xludf.DUMMYFUNCTION("""COMPUTED_VALUE"""),45798.0)</f>
        <v>45798</v>
      </c>
      <c r="F1305" s="13">
        <f>IFERROR(__xludf.DUMMYFUNCTION("""COMPUTED_VALUE"""),45798.0)</f>
        <v>45798</v>
      </c>
      <c r="G1305" s="12"/>
      <c r="H1305" s="12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</row>
    <row r="1306">
      <c r="A1306" s="11" t="str">
        <f>IFERROR(__xludf.DUMMYFUNCTION("""COMPUTED_VALUE"""),"Ncr Atleos Corp  Com")</f>
        <v>Ncr Atleos Corp  Com</v>
      </c>
      <c r="B1306" s="12" t="str">
        <f>IFERROR(__xludf.DUMMYFUNCTION("""COMPUTED_VALUE"""),"NATL-US")</f>
        <v>NATL-US</v>
      </c>
      <c r="C1306" s="12"/>
      <c r="D1306" s="13">
        <f>IFERROR(__xludf.DUMMYFUNCTION("""COMPUTED_VALUE"""),45441.0)</f>
        <v>45441</v>
      </c>
      <c r="E1306" s="13">
        <f>IFERROR(__xludf.DUMMYFUNCTION("""COMPUTED_VALUE"""),45798.0)</f>
        <v>45798</v>
      </c>
      <c r="F1306" s="13">
        <f>IFERROR(__xludf.DUMMYFUNCTION("""COMPUTED_VALUE"""),45798.0)</f>
        <v>45798</v>
      </c>
      <c r="G1306" s="12"/>
      <c r="H1306" s="12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</row>
    <row r="1307">
      <c r="A1307" s="11" t="str">
        <f>IFERROR(__xludf.DUMMYFUNCTION("""COMPUTED_VALUE"""),"Insperity Inc  Com")</f>
        <v>Insperity Inc  Com</v>
      </c>
      <c r="B1307" s="12" t="str">
        <f>IFERROR(__xludf.DUMMYFUNCTION("""COMPUTED_VALUE"""),"NSP-US")</f>
        <v>NSP-US</v>
      </c>
      <c r="C1307" s="12"/>
      <c r="D1307" s="13">
        <f>IFERROR(__xludf.DUMMYFUNCTION("""COMPUTED_VALUE"""),45441.0)</f>
        <v>45441</v>
      </c>
      <c r="E1307" s="13">
        <f>IFERROR(__xludf.DUMMYFUNCTION("""COMPUTED_VALUE"""),45797.0)</f>
        <v>45797</v>
      </c>
      <c r="F1307" s="13">
        <f>IFERROR(__xludf.DUMMYFUNCTION("""COMPUTED_VALUE"""),45797.0)</f>
        <v>45797</v>
      </c>
      <c r="G1307" s="12"/>
      <c r="H1307" s="12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</row>
    <row r="1308">
      <c r="A1308" s="11" t="str">
        <f>IFERROR(__xludf.DUMMYFUNCTION("""COMPUTED_VALUE"""),"Catalyst Pharmaceuticals Inc  Com")</f>
        <v>Catalyst Pharmaceuticals Inc  Com</v>
      </c>
      <c r="B1308" s="12" t="str">
        <f>IFERROR(__xludf.DUMMYFUNCTION("""COMPUTED_VALUE"""),"CPRX-US")</f>
        <v>CPRX-US</v>
      </c>
      <c r="C1308" s="12"/>
      <c r="D1308" s="13">
        <f>IFERROR(__xludf.DUMMYFUNCTION("""COMPUTED_VALUE"""),45441.0)</f>
        <v>45441</v>
      </c>
      <c r="E1308" s="13">
        <f>IFERROR(__xludf.DUMMYFUNCTION("""COMPUTED_VALUE"""),45797.0)</f>
        <v>45797</v>
      </c>
      <c r="F1308" s="13">
        <f>IFERROR(__xludf.DUMMYFUNCTION("""COMPUTED_VALUE"""),45797.0)</f>
        <v>45797</v>
      </c>
      <c r="G1308" s="12"/>
      <c r="H1308" s="12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</row>
    <row r="1309">
      <c r="A1309" s="11" t="str">
        <f>IFERROR(__xludf.DUMMYFUNCTION("""COMPUTED_VALUE"""),"Chemours Co  Com")</f>
        <v>Chemours Co  Com</v>
      </c>
      <c r="B1309" s="12" t="str">
        <f>IFERROR(__xludf.DUMMYFUNCTION("""COMPUTED_VALUE"""),"CC-US")</f>
        <v>CC-US</v>
      </c>
      <c r="C1309" s="12"/>
      <c r="D1309" s="13">
        <f>IFERROR(__xludf.DUMMYFUNCTION("""COMPUTED_VALUE"""),45441.0)</f>
        <v>45441</v>
      </c>
      <c r="E1309" s="13">
        <f>IFERROR(__xludf.DUMMYFUNCTION("""COMPUTED_VALUE"""),45769.0)</f>
        <v>45769</v>
      </c>
      <c r="F1309" s="13">
        <f>IFERROR(__xludf.DUMMYFUNCTION("""COMPUTED_VALUE"""),45769.0)</f>
        <v>45769</v>
      </c>
      <c r="G1309" s="12"/>
      <c r="H1309" s="12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</row>
    <row r="1310">
      <c r="A1310" s="11" t="str">
        <f>IFERROR(__xludf.DUMMYFUNCTION("""COMPUTED_VALUE"""),"Liberty Global Ltd  Cl C")</f>
        <v>Liberty Global Ltd  Cl C</v>
      </c>
      <c r="B1310" s="12" t="str">
        <f>IFERROR(__xludf.DUMMYFUNCTION("""COMPUTED_VALUE"""),"LBTYK-US")</f>
        <v>LBTYK-US</v>
      </c>
      <c r="C1310" s="12"/>
      <c r="D1310" s="13">
        <f>IFERROR(__xludf.DUMMYFUNCTION("""COMPUTED_VALUE"""),45441.0)</f>
        <v>45441</v>
      </c>
      <c r="E1310" s="13">
        <f>IFERROR(__xludf.DUMMYFUNCTION("""COMPUTED_VALUE"""),45804.0)</f>
        <v>45804</v>
      </c>
      <c r="F1310" s="13">
        <f>IFERROR(__xludf.DUMMYFUNCTION("""COMPUTED_VALUE"""),45804.0)</f>
        <v>45804</v>
      </c>
      <c r="G1310" s="12"/>
      <c r="H1310" s="12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</row>
    <row r="1311">
      <c r="A1311" s="11" t="str">
        <f>IFERROR(__xludf.DUMMYFUNCTION("""COMPUTED_VALUE"""),"Lxp Industrial Trust  Com")</f>
        <v>Lxp Industrial Trust  Com</v>
      </c>
      <c r="B1311" s="12" t="str">
        <f>IFERROR(__xludf.DUMMYFUNCTION("""COMPUTED_VALUE"""),"LXP-US")</f>
        <v>LXP-US</v>
      </c>
      <c r="C1311" s="12"/>
      <c r="D1311" s="13">
        <f>IFERROR(__xludf.DUMMYFUNCTION("""COMPUTED_VALUE"""),45441.0)</f>
        <v>45441</v>
      </c>
      <c r="E1311" s="13">
        <f>IFERROR(__xludf.DUMMYFUNCTION("""COMPUTED_VALUE"""),45804.0)</f>
        <v>45804</v>
      </c>
      <c r="F1311" s="13">
        <f>IFERROR(__xludf.DUMMYFUNCTION("""COMPUTED_VALUE"""),45804.0)</f>
        <v>45804</v>
      </c>
      <c r="G1311" s="12"/>
      <c r="H1311" s="12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</row>
    <row r="1312">
      <c r="A1312" s="11" t="str">
        <f>IFERROR(__xludf.DUMMYFUNCTION("""COMPUTED_VALUE"""),"Liberty Global Ltd  Cl A")</f>
        <v>Liberty Global Ltd  Cl A</v>
      </c>
      <c r="B1312" s="12" t="str">
        <f>IFERROR(__xludf.DUMMYFUNCTION("""COMPUTED_VALUE"""),"LBTYA-US")</f>
        <v>LBTYA-US</v>
      </c>
      <c r="C1312" s="12"/>
      <c r="D1312" s="13">
        <f>IFERROR(__xludf.DUMMYFUNCTION("""COMPUTED_VALUE"""),45441.0)</f>
        <v>45441</v>
      </c>
      <c r="E1312" s="13">
        <f>IFERROR(__xludf.DUMMYFUNCTION("""COMPUTED_VALUE"""),45804.0)</f>
        <v>45804</v>
      </c>
      <c r="F1312" s="13">
        <f>IFERROR(__xludf.DUMMYFUNCTION("""COMPUTED_VALUE"""),45804.0)</f>
        <v>45804</v>
      </c>
      <c r="G1312" s="12"/>
      <c r="H1312" s="12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</row>
    <row r="1313">
      <c r="A1313" s="11" t="str">
        <f>IFERROR(__xludf.DUMMYFUNCTION("""COMPUTED_VALUE"""),"Vishay Intertechnology Inc  Com")</f>
        <v>Vishay Intertechnology Inc  Com</v>
      </c>
      <c r="B1313" s="12" t="str">
        <f>IFERROR(__xludf.DUMMYFUNCTION("""COMPUTED_VALUE"""),"VSH-US")</f>
        <v>VSH-US</v>
      </c>
      <c r="C1313" s="12"/>
      <c r="D1313" s="13">
        <f>IFERROR(__xludf.DUMMYFUNCTION("""COMPUTED_VALUE"""),45441.0)</f>
        <v>45441</v>
      </c>
      <c r="E1313" s="13">
        <f>IFERROR(__xludf.DUMMYFUNCTION("""COMPUTED_VALUE"""),45797.0)</f>
        <v>45797</v>
      </c>
      <c r="F1313" s="13">
        <f>IFERROR(__xludf.DUMMYFUNCTION("""COMPUTED_VALUE"""),45797.0)</f>
        <v>45797</v>
      </c>
      <c r="G1313" s="12"/>
      <c r="H1313" s="12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</row>
    <row r="1314">
      <c r="A1314" s="11" t="str">
        <f>IFERROR(__xludf.DUMMYFUNCTION("""COMPUTED_VALUE"""),"Nbt Bancorp Inc  Com")</f>
        <v>Nbt Bancorp Inc  Com</v>
      </c>
      <c r="B1314" s="12" t="str">
        <f>IFERROR(__xludf.DUMMYFUNCTION("""COMPUTED_VALUE"""),"NBTB-US")</f>
        <v>NBTB-US</v>
      </c>
      <c r="C1314" s="12"/>
      <c r="D1314" s="13">
        <f>IFERROR(__xludf.DUMMYFUNCTION("""COMPUTED_VALUE"""),45441.0)</f>
        <v>45441</v>
      </c>
      <c r="E1314" s="13">
        <f>IFERROR(__xludf.DUMMYFUNCTION("""COMPUTED_VALUE"""),45797.0)</f>
        <v>45797</v>
      </c>
      <c r="F1314" s="13">
        <f>IFERROR(__xludf.DUMMYFUNCTION("""COMPUTED_VALUE"""),45797.0)</f>
        <v>45797</v>
      </c>
      <c r="G1314" s="12"/>
      <c r="H1314" s="12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</row>
    <row r="1315">
      <c r="A1315" s="11" t="str">
        <f>IFERROR(__xludf.DUMMYFUNCTION("""COMPUTED_VALUE"""),"Omnicell Inc  Com")</f>
        <v>Omnicell Inc  Com</v>
      </c>
      <c r="B1315" s="12" t="str">
        <f>IFERROR(__xludf.DUMMYFUNCTION("""COMPUTED_VALUE"""),"OMCL-US")</f>
        <v>OMCL-US</v>
      </c>
      <c r="C1315" s="12"/>
      <c r="D1315" s="13">
        <f>IFERROR(__xludf.DUMMYFUNCTION("""COMPUTED_VALUE"""),45441.0)</f>
        <v>45441</v>
      </c>
      <c r="E1315" s="13">
        <f>IFERROR(__xludf.DUMMYFUNCTION("""COMPUTED_VALUE"""),45798.0)</f>
        <v>45798</v>
      </c>
      <c r="F1315" s="13">
        <f>IFERROR(__xludf.DUMMYFUNCTION("""COMPUTED_VALUE"""),45798.0)</f>
        <v>45798</v>
      </c>
      <c r="G1315" s="12"/>
      <c r="H1315" s="12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</row>
    <row r="1316">
      <c r="A1316" s="11" t="str">
        <f>IFERROR(__xludf.DUMMYFUNCTION("""COMPUTED_VALUE"""),"Seacoast Banking Corp  Com")</f>
        <v>Seacoast Banking Corp  Com</v>
      </c>
      <c r="B1316" s="12" t="str">
        <f>IFERROR(__xludf.DUMMYFUNCTION("""COMPUTED_VALUE"""),"SBCF-US")</f>
        <v>SBCF-US</v>
      </c>
      <c r="C1316" s="12"/>
      <c r="D1316" s="13">
        <f>IFERROR(__xludf.DUMMYFUNCTION("""COMPUTED_VALUE"""),45441.0)</f>
        <v>45441</v>
      </c>
      <c r="E1316" s="13">
        <f>IFERROR(__xludf.DUMMYFUNCTION("""COMPUTED_VALUE"""),45796.0)</f>
        <v>45796</v>
      </c>
      <c r="F1316" s="13">
        <f>IFERROR(__xludf.DUMMYFUNCTION("""COMPUTED_VALUE"""),45796.0)</f>
        <v>45796</v>
      </c>
      <c r="G1316" s="12"/>
      <c r="H1316" s="12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</row>
    <row r="1317">
      <c r="A1317" s="11" t="str">
        <f>IFERROR(__xludf.DUMMYFUNCTION("""COMPUTED_VALUE"""),"Foot Locker Inc  Com")</f>
        <v>Foot Locker Inc  Com</v>
      </c>
      <c r="B1317" s="12" t="str">
        <f>IFERROR(__xludf.DUMMYFUNCTION("""COMPUTED_VALUE"""),"FL-US")</f>
        <v>FL-US</v>
      </c>
      <c r="C1317" s="12"/>
      <c r="D1317" s="13">
        <f>IFERROR(__xludf.DUMMYFUNCTION("""COMPUTED_VALUE"""),45441.0)</f>
        <v>45441</v>
      </c>
      <c r="E1317" s="13">
        <f>IFERROR(__xludf.DUMMYFUNCTION("""COMPUTED_VALUE"""),45798.0)</f>
        <v>45798</v>
      </c>
      <c r="F1317" s="13">
        <f>IFERROR(__xludf.DUMMYFUNCTION("""COMPUTED_VALUE"""),45798.0)</f>
        <v>45798</v>
      </c>
      <c r="G1317" s="12"/>
      <c r="H1317" s="12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</row>
    <row r="1318">
      <c r="A1318" s="11" t="str">
        <f>IFERROR(__xludf.DUMMYFUNCTION("""COMPUTED_VALUE"""),"Vse Corp  Com")</f>
        <v>Vse Corp  Com</v>
      </c>
      <c r="B1318" s="12" t="str">
        <f>IFERROR(__xludf.DUMMYFUNCTION("""COMPUTED_VALUE"""),"VSEC-US")</f>
        <v>VSEC-US</v>
      </c>
      <c r="C1318" s="12"/>
      <c r="D1318" s="13">
        <f>IFERROR(__xludf.DUMMYFUNCTION("""COMPUTED_VALUE"""),45441.0)</f>
        <v>45441</v>
      </c>
      <c r="E1318" s="13">
        <f>IFERROR(__xludf.DUMMYFUNCTION("""COMPUTED_VALUE"""),45785.0)</f>
        <v>45785</v>
      </c>
      <c r="F1318" s="13">
        <f>IFERROR(__xludf.DUMMYFUNCTION("""COMPUTED_VALUE"""),45785.0)</f>
        <v>45785</v>
      </c>
      <c r="G1318" s="12"/>
      <c r="H1318" s="12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</row>
    <row r="1319">
      <c r="A1319" s="11" t="str">
        <f>IFERROR(__xludf.DUMMYFUNCTION("""COMPUTED_VALUE"""),"Live Oak Bancshares Inc  Com")</f>
        <v>Live Oak Bancshares Inc  Com</v>
      </c>
      <c r="B1319" s="12" t="str">
        <f>IFERROR(__xludf.DUMMYFUNCTION("""COMPUTED_VALUE"""),"LOB-US")</f>
        <v>LOB-US</v>
      </c>
      <c r="C1319" s="12"/>
      <c r="D1319" s="13">
        <f>IFERROR(__xludf.DUMMYFUNCTION("""COMPUTED_VALUE"""),45441.0)</f>
        <v>45441</v>
      </c>
      <c r="E1319" s="13">
        <f>IFERROR(__xludf.DUMMYFUNCTION("""COMPUTED_VALUE"""),45797.0)</f>
        <v>45797</v>
      </c>
      <c r="F1319" s="13">
        <f>IFERROR(__xludf.DUMMYFUNCTION("""COMPUTED_VALUE"""),45797.0)</f>
        <v>45797</v>
      </c>
      <c r="G1319" s="12"/>
      <c r="H1319" s="12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</row>
    <row r="1320">
      <c r="A1320" s="11" t="str">
        <f>IFERROR(__xludf.DUMMYFUNCTION("""COMPUTED_VALUE"""),"Certara Inc  Com")</f>
        <v>Certara Inc  Com</v>
      </c>
      <c r="B1320" s="12" t="str">
        <f>IFERROR(__xludf.DUMMYFUNCTION("""COMPUTED_VALUE"""),"CERT-US")</f>
        <v>CERT-US</v>
      </c>
      <c r="C1320" s="12"/>
      <c r="D1320" s="13">
        <f>IFERROR(__xludf.DUMMYFUNCTION("""COMPUTED_VALUE"""),45442.0)</f>
        <v>45442</v>
      </c>
      <c r="E1320" s="13">
        <f>IFERROR(__xludf.DUMMYFUNCTION("""COMPUTED_VALUE"""),45798.0)</f>
        <v>45798</v>
      </c>
      <c r="F1320" s="13">
        <f>IFERROR(__xludf.DUMMYFUNCTION("""COMPUTED_VALUE"""),45798.0)</f>
        <v>45798</v>
      </c>
      <c r="G1320" s="12"/>
      <c r="H1320" s="12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</row>
    <row r="1321">
      <c r="A1321" s="11" t="str">
        <f>IFERROR(__xludf.DUMMYFUNCTION("""COMPUTED_VALUE"""),"Us Physical Therapy Inc  Com")</f>
        <v>Us Physical Therapy Inc  Com</v>
      </c>
      <c r="B1321" s="12" t="str">
        <f>IFERROR(__xludf.DUMMYFUNCTION("""COMPUTED_VALUE"""),"USPH-US")</f>
        <v>USPH-US</v>
      </c>
      <c r="C1321" s="12"/>
      <c r="D1321" s="13">
        <f>IFERROR(__xludf.DUMMYFUNCTION("""COMPUTED_VALUE"""),45442.0)</f>
        <v>45442</v>
      </c>
      <c r="E1321" s="13">
        <f>IFERROR(__xludf.DUMMYFUNCTION("""COMPUTED_VALUE"""),45797.0)</f>
        <v>45797</v>
      </c>
      <c r="F1321" s="13">
        <f>IFERROR(__xludf.DUMMYFUNCTION("""COMPUTED_VALUE"""),45797.0)</f>
        <v>45797</v>
      </c>
      <c r="G1321" s="12"/>
      <c r="H1321" s="12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</row>
    <row r="1322">
      <c r="A1322" s="11" t="str">
        <f>IFERROR(__xludf.DUMMYFUNCTION("""COMPUTED_VALUE"""),"Coursera Inc  Com")</f>
        <v>Coursera Inc  Com</v>
      </c>
      <c r="B1322" s="12" t="str">
        <f>IFERROR(__xludf.DUMMYFUNCTION("""COMPUTED_VALUE"""),"COUR-US")</f>
        <v>COUR-US</v>
      </c>
      <c r="C1322" s="12"/>
      <c r="D1322" s="13">
        <f>IFERROR(__xludf.DUMMYFUNCTION("""COMPUTED_VALUE"""),45442.0)</f>
        <v>45442</v>
      </c>
      <c r="E1322" s="13">
        <f>IFERROR(__xludf.DUMMYFUNCTION("""COMPUTED_VALUE"""),45797.0)</f>
        <v>45797</v>
      </c>
      <c r="F1322" s="13">
        <f>IFERROR(__xludf.DUMMYFUNCTION("""COMPUTED_VALUE"""),45797.0)</f>
        <v>45797</v>
      </c>
      <c r="G1322" s="12"/>
      <c r="H1322" s="12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</row>
    <row r="1323">
      <c r="A1323" s="11" t="str">
        <f>IFERROR(__xludf.DUMMYFUNCTION("""COMPUTED_VALUE"""),"Ani Pharmaceuticals Inc  Com")</f>
        <v>Ani Pharmaceuticals Inc  Com</v>
      </c>
      <c r="B1323" s="12" t="str">
        <f>IFERROR(__xludf.DUMMYFUNCTION("""COMPUTED_VALUE"""),"ANIP-US")</f>
        <v>ANIP-US</v>
      </c>
      <c r="C1323" s="12"/>
      <c r="D1323" s="13">
        <f>IFERROR(__xludf.DUMMYFUNCTION("""COMPUTED_VALUE"""),45442.0)</f>
        <v>45442</v>
      </c>
      <c r="E1323" s="13">
        <f>IFERROR(__xludf.DUMMYFUNCTION("""COMPUTED_VALUE"""),45799.0)</f>
        <v>45799</v>
      </c>
      <c r="F1323" s="13">
        <f>IFERROR(__xludf.DUMMYFUNCTION("""COMPUTED_VALUE"""),45799.0)</f>
        <v>45799</v>
      </c>
      <c r="G1323" s="12"/>
      <c r="H1323" s="12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</row>
    <row r="1324">
      <c r="A1324" s="11" t="str">
        <f>IFERROR(__xludf.DUMMYFUNCTION("""COMPUTED_VALUE"""),"Liberty Latin America Ltd  Cl C")</f>
        <v>Liberty Latin America Ltd  Cl C</v>
      </c>
      <c r="B1324" s="12" t="str">
        <f>IFERROR(__xludf.DUMMYFUNCTION("""COMPUTED_VALUE"""),"LILAK-US")</f>
        <v>LILAK-US</v>
      </c>
      <c r="C1324" s="12"/>
      <c r="D1324" s="13">
        <f>IFERROR(__xludf.DUMMYFUNCTION("""COMPUTED_VALUE"""),45442.0)</f>
        <v>45442</v>
      </c>
      <c r="E1324" s="13">
        <f>IFERROR(__xludf.DUMMYFUNCTION("""COMPUTED_VALUE"""),45804.0)</f>
        <v>45804</v>
      </c>
      <c r="F1324" s="13">
        <f>IFERROR(__xludf.DUMMYFUNCTION("""COMPUTED_VALUE"""),45804.0)</f>
        <v>45804</v>
      </c>
      <c r="G1324" s="12"/>
      <c r="H1324" s="12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</row>
    <row r="1325">
      <c r="A1325" s="11" t="str">
        <f>IFERROR(__xludf.DUMMYFUNCTION("""COMPUTED_VALUE"""),"Monarch Casino &amp; Resort Inc  Com")</f>
        <v>Monarch Casino &amp; Resort Inc  Com</v>
      </c>
      <c r="B1325" s="12" t="str">
        <f>IFERROR(__xludf.DUMMYFUNCTION("""COMPUTED_VALUE"""),"MCRI-US")</f>
        <v>MCRI-US</v>
      </c>
      <c r="C1325" s="12"/>
      <c r="D1325" s="13">
        <f>IFERROR(__xludf.DUMMYFUNCTION("""COMPUTED_VALUE"""),45442.0)</f>
        <v>45442</v>
      </c>
      <c r="E1325" s="13">
        <f>IFERROR(__xludf.DUMMYFUNCTION("""COMPUTED_VALUE"""),45814.0)</f>
        <v>45814</v>
      </c>
      <c r="F1325" s="13">
        <f>IFERROR(__xludf.DUMMYFUNCTION("""COMPUTED_VALUE"""),45814.0)</f>
        <v>45814</v>
      </c>
      <c r="G1325" s="12"/>
      <c r="H1325" s="12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</row>
    <row r="1326">
      <c r="A1326" s="11" t="str">
        <f>IFERROR(__xludf.DUMMYFUNCTION("""COMPUTED_VALUE"""),"Oceanfirst Financial Corp  Com")</f>
        <v>Oceanfirst Financial Corp  Com</v>
      </c>
      <c r="B1326" s="12" t="str">
        <f>IFERROR(__xludf.DUMMYFUNCTION("""COMPUTED_VALUE"""),"OCFC-US")</f>
        <v>OCFC-US</v>
      </c>
      <c r="C1326" s="12"/>
      <c r="D1326" s="13">
        <f>IFERROR(__xludf.DUMMYFUNCTION("""COMPUTED_VALUE"""),45442.0)</f>
        <v>45442</v>
      </c>
      <c r="E1326" s="13">
        <f>IFERROR(__xludf.DUMMYFUNCTION("""COMPUTED_VALUE"""),45796.0)</f>
        <v>45796</v>
      </c>
      <c r="F1326" s="13">
        <f>IFERROR(__xludf.DUMMYFUNCTION("""COMPUTED_VALUE"""),45796.0)</f>
        <v>45796</v>
      </c>
      <c r="G1326" s="12"/>
      <c r="H1326" s="12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</row>
    <row r="1327">
      <c r="A1327" s="11" t="str">
        <f>IFERROR(__xludf.DUMMYFUNCTION("""COMPUTED_VALUE"""),"Array Technologies Inc  Com")</f>
        <v>Array Technologies Inc  Com</v>
      </c>
      <c r="B1327" s="12" t="str">
        <f>IFERROR(__xludf.DUMMYFUNCTION("""COMPUTED_VALUE"""),"ARRY-US")</f>
        <v>ARRY-US</v>
      </c>
      <c r="C1327" s="12"/>
      <c r="D1327" s="13">
        <f>IFERROR(__xludf.DUMMYFUNCTION("""COMPUTED_VALUE"""),45442.0)</f>
        <v>45442</v>
      </c>
      <c r="E1327" s="13">
        <f>IFERROR(__xludf.DUMMYFUNCTION("""COMPUTED_VALUE"""),45797.0)</f>
        <v>45797</v>
      </c>
      <c r="F1327" s="13">
        <f>IFERROR(__xludf.DUMMYFUNCTION("""COMPUTED_VALUE"""),45797.0)</f>
        <v>45797</v>
      </c>
      <c r="G1327" s="12"/>
      <c r="H1327" s="12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</row>
    <row r="1328">
      <c r="A1328" s="11" t="str">
        <f>IFERROR(__xludf.DUMMYFUNCTION("""COMPUTED_VALUE"""),"Vimeo Inc  Com")</f>
        <v>Vimeo Inc  Com</v>
      </c>
      <c r="B1328" s="12" t="str">
        <f>IFERROR(__xludf.DUMMYFUNCTION("""COMPUTED_VALUE"""),"VMEO-US")</f>
        <v>VMEO-US</v>
      </c>
      <c r="C1328" s="12"/>
      <c r="D1328" s="13">
        <f>IFERROR(__xludf.DUMMYFUNCTION("""COMPUTED_VALUE"""),45442.0)</f>
        <v>45442</v>
      </c>
      <c r="E1328" s="13">
        <f>IFERROR(__xludf.DUMMYFUNCTION("""COMPUTED_VALUE"""),45817.0)</f>
        <v>45817</v>
      </c>
      <c r="F1328" s="13">
        <f>IFERROR(__xludf.DUMMYFUNCTION("""COMPUTED_VALUE"""),45817.0)</f>
        <v>45817</v>
      </c>
      <c r="G1328" s="12"/>
      <c r="H1328" s="12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</row>
    <row r="1329">
      <c r="A1329" s="11" t="str">
        <f>IFERROR(__xludf.DUMMYFUNCTION("""COMPUTED_VALUE"""),"Middlesex Water Co  Com")</f>
        <v>Middlesex Water Co  Com</v>
      </c>
      <c r="B1329" s="12" t="str">
        <f>IFERROR(__xludf.DUMMYFUNCTION("""COMPUTED_VALUE"""),"MSEX-US")</f>
        <v>MSEX-US</v>
      </c>
      <c r="C1329" s="12"/>
      <c r="D1329" s="13">
        <f>IFERROR(__xludf.DUMMYFUNCTION("""COMPUTED_VALUE"""),45442.0)</f>
        <v>45442</v>
      </c>
      <c r="E1329" s="13">
        <f>IFERROR(__xludf.DUMMYFUNCTION("""COMPUTED_VALUE"""),45797.0)</f>
        <v>45797</v>
      </c>
      <c r="F1329" s="13">
        <f>IFERROR(__xludf.DUMMYFUNCTION("""COMPUTED_VALUE"""),45797.0)</f>
        <v>45797</v>
      </c>
      <c r="G1329" s="12"/>
      <c r="H1329" s="12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</row>
    <row r="1330">
      <c r="A1330" s="11" t="str">
        <f>IFERROR(__xludf.DUMMYFUNCTION("""COMPUTED_VALUE"""),"Connectone Bancorp Inc  Com")</f>
        <v>Connectone Bancorp Inc  Com</v>
      </c>
      <c r="B1330" s="12" t="str">
        <f>IFERROR(__xludf.DUMMYFUNCTION("""COMPUTED_VALUE"""),"CNOB-US")</f>
        <v>CNOB-US</v>
      </c>
      <c r="C1330" s="12"/>
      <c r="D1330" s="13">
        <f>IFERROR(__xludf.DUMMYFUNCTION("""COMPUTED_VALUE"""),45442.0)</f>
        <v>45442</v>
      </c>
      <c r="E1330" s="13">
        <f>IFERROR(__xludf.DUMMYFUNCTION("""COMPUTED_VALUE"""),45797.0)</f>
        <v>45797</v>
      </c>
      <c r="F1330" s="13">
        <f>IFERROR(__xludf.DUMMYFUNCTION("""COMPUTED_VALUE"""),45797.0)</f>
        <v>45797</v>
      </c>
      <c r="G1330" s="12"/>
      <c r="H1330" s="12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</row>
    <row r="1331">
      <c r="A1331" s="11" t="str">
        <f>IFERROR(__xludf.DUMMYFUNCTION("""COMPUTED_VALUE"""),"National Presto Industries Inc  Com")</f>
        <v>National Presto Industries Inc  Com</v>
      </c>
      <c r="B1331" s="12" t="str">
        <f>IFERROR(__xludf.DUMMYFUNCTION("""COMPUTED_VALUE"""),"NPK-US")</f>
        <v>NPK-US</v>
      </c>
      <c r="C1331" s="12"/>
      <c r="D1331" s="13">
        <f>IFERROR(__xludf.DUMMYFUNCTION("""COMPUTED_VALUE"""),45442.0)</f>
        <v>45442</v>
      </c>
      <c r="E1331" s="13">
        <f>IFERROR(__xludf.DUMMYFUNCTION("""COMPUTED_VALUE"""),45797.0)</f>
        <v>45797</v>
      </c>
      <c r="F1331" s="13">
        <f>IFERROR(__xludf.DUMMYFUNCTION("""COMPUTED_VALUE"""),45797.0)</f>
        <v>45797</v>
      </c>
      <c r="G1331" s="12"/>
      <c r="H1331" s="12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</row>
    <row r="1332">
      <c r="A1332" s="11" t="str">
        <f>IFERROR(__xludf.DUMMYFUNCTION("""COMPUTED_VALUE"""),"Old Second Bancorp Inc (Il)  Com")</f>
        <v>Old Second Bancorp Inc (Il)  Com</v>
      </c>
      <c r="B1332" s="12" t="str">
        <f>IFERROR(__xludf.DUMMYFUNCTION("""COMPUTED_VALUE"""),"OSBC-US")</f>
        <v>OSBC-US</v>
      </c>
      <c r="C1332" s="12"/>
      <c r="D1332" s="13">
        <f>IFERROR(__xludf.DUMMYFUNCTION("""COMPUTED_VALUE"""),45442.0)</f>
        <v>45442</v>
      </c>
      <c r="E1332" s="13">
        <f>IFERROR(__xludf.DUMMYFUNCTION("""COMPUTED_VALUE"""),45797.0)</f>
        <v>45797</v>
      </c>
      <c r="F1332" s="13">
        <f>IFERROR(__xludf.DUMMYFUNCTION("""COMPUTED_VALUE"""),45797.0)</f>
        <v>45797</v>
      </c>
      <c r="G1332" s="12"/>
      <c r="H1332" s="12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</row>
    <row r="1333">
      <c r="A1333" s="11" t="str">
        <f>IFERROR(__xludf.DUMMYFUNCTION("""COMPUTED_VALUE"""),"Redwood Trust Inc  Com")</f>
        <v>Redwood Trust Inc  Com</v>
      </c>
      <c r="B1333" s="12" t="str">
        <f>IFERROR(__xludf.DUMMYFUNCTION("""COMPUTED_VALUE"""),"RWT-US")</f>
        <v>RWT-US</v>
      </c>
      <c r="C1333" s="12"/>
      <c r="D1333" s="13">
        <f>IFERROR(__xludf.DUMMYFUNCTION("""COMPUTED_VALUE"""),45442.0)</f>
        <v>45442</v>
      </c>
      <c r="E1333" s="13">
        <f>IFERROR(__xludf.DUMMYFUNCTION("""COMPUTED_VALUE"""),45799.0)</f>
        <v>45799</v>
      </c>
      <c r="F1333" s="13">
        <f>IFERROR(__xludf.DUMMYFUNCTION("""COMPUTED_VALUE"""),45799.0)</f>
        <v>45799</v>
      </c>
      <c r="G1333" s="12"/>
      <c r="H1333" s="12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</row>
    <row r="1334">
      <c r="A1334" s="11" t="str">
        <f>IFERROR(__xludf.DUMMYFUNCTION("""COMPUTED_VALUE"""),"Ceva Inc  Com")</f>
        <v>Ceva Inc  Com</v>
      </c>
      <c r="B1334" s="12" t="str">
        <f>IFERROR(__xludf.DUMMYFUNCTION("""COMPUTED_VALUE"""),"CEVA-US")</f>
        <v>CEVA-US</v>
      </c>
      <c r="C1334" s="12"/>
      <c r="D1334" s="13">
        <f>IFERROR(__xludf.DUMMYFUNCTION("""COMPUTED_VALUE"""),45442.0)</f>
        <v>45442</v>
      </c>
      <c r="E1334" s="13">
        <f>IFERROR(__xludf.DUMMYFUNCTION("""COMPUTED_VALUE"""),45782.0)</f>
        <v>45782</v>
      </c>
      <c r="F1334" s="13">
        <f>IFERROR(__xludf.DUMMYFUNCTION("""COMPUTED_VALUE"""),45782.0)</f>
        <v>45782</v>
      </c>
      <c r="G1334" s="12"/>
      <c r="H1334" s="12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</row>
    <row r="1335">
      <c r="A1335" s="11" t="str">
        <f>IFERROR(__xludf.DUMMYFUNCTION("""COMPUTED_VALUE"""),"Rush Enterprises Inc  Cl B")</f>
        <v>Rush Enterprises Inc  Cl B</v>
      </c>
      <c r="B1335" s="12" t="str">
        <f>IFERROR(__xludf.DUMMYFUNCTION("""COMPUTED_VALUE"""),"RUSHB-US")</f>
        <v>RUSHB-US</v>
      </c>
      <c r="C1335" s="12"/>
      <c r="D1335" s="13">
        <f>IFERROR(__xludf.DUMMYFUNCTION("""COMPUTED_VALUE"""),45442.0)</f>
        <v>45442</v>
      </c>
      <c r="E1335" s="13">
        <f>IFERROR(__xludf.DUMMYFUNCTION("""COMPUTED_VALUE"""),45797.0)</f>
        <v>45797</v>
      </c>
      <c r="F1335" s="13">
        <f>IFERROR(__xludf.DUMMYFUNCTION("""COMPUTED_VALUE"""),45797.0)</f>
        <v>45797</v>
      </c>
      <c r="G1335" s="12"/>
      <c r="H1335" s="12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</row>
    <row r="1336">
      <c r="A1336" s="11" t="str">
        <f>IFERROR(__xludf.DUMMYFUNCTION("""COMPUTED_VALUE"""),"Amalgamated Financial Corp  Com")</f>
        <v>Amalgamated Financial Corp  Com</v>
      </c>
      <c r="B1336" s="12" t="str">
        <f>IFERROR(__xludf.DUMMYFUNCTION("""COMPUTED_VALUE"""),"AMAL-US")</f>
        <v>AMAL-US</v>
      </c>
      <c r="C1336" s="12"/>
      <c r="D1336" s="13">
        <f>IFERROR(__xludf.DUMMYFUNCTION("""COMPUTED_VALUE"""),45442.0)</f>
        <v>45442</v>
      </c>
      <c r="E1336" s="13">
        <f>IFERROR(__xludf.DUMMYFUNCTION("""COMPUTED_VALUE"""),45798.0)</f>
        <v>45798</v>
      </c>
      <c r="F1336" s="13">
        <f>IFERROR(__xludf.DUMMYFUNCTION("""COMPUTED_VALUE"""),45798.0)</f>
        <v>45798</v>
      </c>
      <c r="G1336" s="12"/>
      <c r="H1336" s="12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</row>
    <row r="1337">
      <c r="A1337" s="11" t="str">
        <f>IFERROR(__xludf.DUMMYFUNCTION("""COMPUTED_VALUE"""),"Trustco Bank Corp Ny  Com")</f>
        <v>Trustco Bank Corp Ny  Com</v>
      </c>
      <c r="B1337" s="12" t="str">
        <f>IFERROR(__xludf.DUMMYFUNCTION("""COMPUTED_VALUE"""),"TRST-US")</f>
        <v>TRST-US</v>
      </c>
      <c r="C1337" s="12"/>
      <c r="D1337" s="13">
        <f>IFERROR(__xludf.DUMMYFUNCTION("""COMPUTED_VALUE"""),45442.0)</f>
        <v>45442</v>
      </c>
      <c r="E1337" s="13">
        <f>IFERROR(__xludf.DUMMYFUNCTION("""COMPUTED_VALUE"""),45797.0)</f>
        <v>45797</v>
      </c>
      <c r="F1337" s="13">
        <f>IFERROR(__xludf.DUMMYFUNCTION("""COMPUTED_VALUE"""),45797.0)</f>
        <v>45797</v>
      </c>
      <c r="G1337" s="12"/>
      <c r="H1337" s="12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</row>
    <row r="1338">
      <c r="A1338" s="11" t="str">
        <f>IFERROR(__xludf.DUMMYFUNCTION("""COMPUTED_VALUE"""),"Tetra Technologies Inc/De  Com")</f>
        <v>Tetra Technologies Inc/De  Com</v>
      </c>
      <c r="B1338" s="12" t="str">
        <f>IFERROR(__xludf.DUMMYFUNCTION("""COMPUTED_VALUE"""),"TTI-US")</f>
        <v>TTI-US</v>
      </c>
      <c r="C1338" s="12"/>
      <c r="D1338" s="13">
        <f>IFERROR(__xludf.DUMMYFUNCTION("""COMPUTED_VALUE"""),45442.0)</f>
        <v>45442</v>
      </c>
      <c r="E1338" s="13">
        <f>IFERROR(__xludf.DUMMYFUNCTION("""COMPUTED_VALUE"""),45820.0)</f>
        <v>45820</v>
      </c>
      <c r="F1338" s="13">
        <f>IFERROR(__xludf.DUMMYFUNCTION("""COMPUTED_VALUE"""),45820.0)</f>
        <v>45820</v>
      </c>
      <c r="G1338" s="12"/>
      <c r="H1338" s="12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</row>
    <row r="1339">
      <c r="A1339" s="11" t="str">
        <f>IFERROR(__xludf.DUMMYFUNCTION("""COMPUTED_VALUE"""),"Camden National Corp  Com")</f>
        <v>Camden National Corp  Com</v>
      </c>
      <c r="B1339" s="12" t="str">
        <f>IFERROR(__xludf.DUMMYFUNCTION("""COMPUTED_VALUE"""),"CAC-US")</f>
        <v>CAC-US</v>
      </c>
      <c r="C1339" s="12"/>
      <c r="D1339" s="13">
        <f>IFERROR(__xludf.DUMMYFUNCTION("""COMPUTED_VALUE"""),45442.0)</f>
        <v>45442</v>
      </c>
      <c r="E1339" s="13">
        <f>IFERROR(__xludf.DUMMYFUNCTION("""COMPUTED_VALUE"""),45797.0)</f>
        <v>45797</v>
      </c>
      <c r="F1339" s="13">
        <f>IFERROR(__xludf.DUMMYFUNCTION("""COMPUTED_VALUE"""),45797.0)</f>
        <v>45797</v>
      </c>
      <c r="G1339" s="12"/>
      <c r="H1339" s="12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</row>
    <row r="1340">
      <c r="A1340" s="11" t="str">
        <f>IFERROR(__xludf.DUMMYFUNCTION("""COMPUTED_VALUE"""),"Acco Brands Corp  Com")</f>
        <v>Acco Brands Corp  Com</v>
      </c>
      <c r="B1340" s="12" t="str">
        <f>IFERROR(__xludf.DUMMYFUNCTION("""COMPUTED_VALUE"""),"ACCO-US")</f>
        <v>ACCO-US</v>
      </c>
      <c r="C1340" s="12"/>
      <c r="D1340" s="13">
        <f>IFERROR(__xludf.DUMMYFUNCTION("""COMPUTED_VALUE"""),45442.0)</f>
        <v>45442</v>
      </c>
      <c r="E1340" s="13">
        <f>IFERROR(__xludf.DUMMYFUNCTION("""COMPUTED_VALUE"""),45797.0)</f>
        <v>45797</v>
      </c>
      <c r="F1340" s="13">
        <f>IFERROR(__xludf.DUMMYFUNCTION("""COMPUTED_VALUE"""),45797.0)</f>
        <v>45797</v>
      </c>
      <c r="G1340" s="12"/>
      <c r="H1340" s="12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</row>
    <row r="1341">
      <c r="A1341" s="11" t="str">
        <f>IFERROR(__xludf.DUMMYFUNCTION("""COMPUTED_VALUE"""),"Hyliion Holdings Corp  Cl A")</f>
        <v>Hyliion Holdings Corp  Cl A</v>
      </c>
      <c r="B1341" s="12" t="str">
        <f>IFERROR(__xludf.DUMMYFUNCTION("""COMPUTED_VALUE"""),"HYLN-US")</f>
        <v>HYLN-US</v>
      </c>
      <c r="C1341" s="12"/>
      <c r="D1341" s="13">
        <f>IFERROR(__xludf.DUMMYFUNCTION("""COMPUTED_VALUE"""),45442.0)</f>
        <v>45442</v>
      </c>
      <c r="E1341" s="13">
        <f>IFERROR(__xludf.DUMMYFUNCTION("""COMPUTED_VALUE"""),45797.0)</f>
        <v>45797</v>
      </c>
      <c r="F1341" s="13">
        <f>IFERROR(__xludf.DUMMYFUNCTION("""COMPUTED_VALUE"""),45797.0)</f>
        <v>45797</v>
      </c>
      <c r="G1341" s="12"/>
      <c r="H1341" s="12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</row>
    <row r="1342">
      <c r="A1342" s="11" t="str">
        <f>IFERROR(__xludf.DUMMYFUNCTION("""COMPUTED_VALUE"""),"Orange County Bancorp Inc  Com")</f>
        <v>Orange County Bancorp Inc  Com</v>
      </c>
      <c r="B1342" s="12" t="str">
        <f>IFERROR(__xludf.DUMMYFUNCTION("""COMPUTED_VALUE"""),"OBT-US")</f>
        <v>OBT-US</v>
      </c>
      <c r="C1342" s="12"/>
      <c r="D1342" s="13">
        <f>IFERROR(__xludf.DUMMYFUNCTION("""COMPUTED_VALUE"""),45442.0)</f>
        <v>45442</v>
      </c>
      <c r="E1342" s="13">
        <f>IFERROR(__xludf.DUMMYFUNCTION("""COMPUTED_VALUE"""),45797.0)</f>
        <v>45797</v>
      </c>
      <c r="F1342" s="13">
        <f>IFERROR(__xludf.DUMMYFUNCTION("""COMPUTED_VALUE"""),45797.0)</f>
        <v>45797</v>
      </c>
      <c r="G1342" s="12"/>
      <c r="H1342" s="12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</row>
    <row r="1343">
      <c r="A1343" s="11" t="str">
        <f>IFERROR(__xludf.DUMMYFUNCTION("""COMPUTED_VALUE"""),"Acacia Research Corp  Acacia Tech")</f>
        <v>Acacia Research Corp  Acacia Tech</v>
      </c>
      <c r="B1343" s="12" t="str">
        <f>IFERROR(__xludf.DUMMYFUNCTION("""COMPUTED_VALUE"""),"ACTG-US")</f>
        <v>ACTG-US</v>
      </c>
      <c r="C1343" s="12"/>
      <c r="D1343" s="13">
        <f>IFERROR(__xludf.DUMMYFUNCTION("""COMPUTED_VALUE"""),45442.0)</f>
        <v>45442</v>
      </c>
      <c r="E1343" s="13">
        <f>IFERROR(__xludf.DUMMYFUNCTION("""COMPUTED_VALUE"""),45792.0)</f>
        <v>45792</v>
      </c>
      <c r="F1343" s="13">
        <f>IFERROR(__xludf.DUMMYFUNCTION("""COMPUTED_VALUE"""),45792.0)</f>
        <v>45792</v>
      </c>
      <c r="G1343" s="12"/>
      <c r="H1343" s="12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</row>
    <row r="1344">
      <c r="A1344" s="11" t="str">
        <f>IFERROR(__xludf.DUMMYFUNCTION("""COMPUTED_VALUE"""),"Mvb Financial Corp  Com")</f>
        <v>Mvb Financial Corp  Com</v>
      </c>
      <c r="B1344" s="12" t="str">
        <f>IFERROR(__xludf.DUMMYFUNCTION("""COMPUTED_VALUE"""),"MVBF-US")</f>
        <v>MVBF-US</v>
      </c>
      <c r="C1344" s="12"/>
      <c r="D1344" s="13">
        <f>IFERROR(__xludf.DUMMYFUNCTION("""COMPUTED_VALUE"""),45442.0)</f>
        <v>45442</v>
      </c>
      <c r="E1344" s="13">
        <f>IFERROR(__xludf.DUMMYFUNCTION("""COMPUTED_VALUE"""),45797.0)</f>
        <v>45797</v>
      </c>
      <c r="F1344" s="13">
        <f>IFERROR(__xludf.DUMMYFUNCTION("""COMPUTED_VALUE"""),45797.0)</f>
        <v>45797</v>
      </c>
      <c r="G1344" s="12"/>
      <c r="H1344" s="12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</row>
    <row r="1345">
      <c r="A1345" s="11" t="str">
        <f>IFERROR(__xludf.DUMMYFUNCTION("""COMPUTED_VALUE"""),"Southern First Bancshares Inc  Com")</f>
        <v>Southern First Bancshares Inc  Com</v>
      </c>
      <c r="B1345" s="12" t="str">
        <f>IFERROR(__xludf.DUMMYFUNCTION("""COMPUTED_VALUE"""),"SFST-US")</f>
        <v>SFST-US</v>
      </c>
      <c r="C1345" s="12"/>
      <c r="D1345" s="13">
        <f>IFERROR(__xludf.DUMMYFUNCTION("""COMPUTED_VALUE"""),45442.0)</f>
        <v>45442</v>
      </c>
      <c r="E1345" s="13">
        <f>IFERROR(__xludf.DUMMYFUNCTION("""COMPUTED_VALUE"""),45797.0)</f>
        <v>45797</v>
      </c>
      <c r="F1345" s="13">
        <f>IFERROR(__xludf.DUMMYFUNCTION("""COMPUTED_VALUE"""),45797.0)</f>
        <v>45797</v>
      </c>
      <c r="G1345" s="12"/>
      <c r="H1345" s="12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</row>
    <row r="1346">
      <c r="A1346" s="11" t="str">
        <f>IFERROR(__xludf.DUMMYFUNCTION("""COMPUTED_VALUE"""),"Waterstone Financial Inc  Com")</f>
        <v>Waterstone Financial Inc  Com</v>
      </c>
      <c r="B1346" s="12" t="str">
        <f>IFERROR(__xludf.DUMMYFUNCTION("""COMPUTED_VALUE"""),"WSBF-US")</f>
        <v>WSBF-US</v>
      </c>
      <c r="C1346" s="12"/>
      <c r="D1346" s="13">
        <f>IFERROR(__xludf.DUMMYFUNCTION("""COMPUTED_VALUE"""),45442.0)</f>
        <v>45442</v>
      </c>
      <c r="E1346" s="13">
        <f>IFERROR(__xludf.DUMMYFUNCTION("""COMPUTED_VALUE"""),45797.0)</f>
        <v>45797</v>
      </c>
      <c r="F1346" s="13">
        <f>IFERROR(__xludf.DUMMYFUNCTION("""COMPUTED_VALUE"""),45797.0)</f>
        <v>45797</v>
      </c>
      <c r="G1346" s="12"/>
      <c r="H1346" s="12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</row>
    <row r="1347">
      <c r="A1347" s="11" t="str">
        <f>IFERROR(__xludf.DUMMYFUNCTION("""COMPUTED_VALUE"""),"Sleep Number Corp  Com")</f>
        <v>Sleep Number Corp  Com</v>
      </c>
      <c r="B1347" s="12" t="str">
        <f>IFERROR(__xludf.DUMMYFUNCTION("""COMPUTED_VALUE"""),"SNBR-US")</f>
        <v>SNBR-US</v>
      </c>
      <c r="C1347" s="12"/>
      <c r="D1347" s="13">
        <f>IFERROR(__xludf.DUMMYFUNCTION("""COMPUTED_VALUE"""),45442.0)</f>
        <v>45442</v>
      </c>
      <c r="E1347" s="13">
        <f>IFERROR(__xludf.DUMMYFUNCTION("""COMPUTED_VALUE"""),45805.0)</f>
        <v>45805</v>
      </c>
      <c r="F1347" s="13">
        <f>IFERROR(__xludf.DUMMYFUNCTION("""COMPUTED_VALUE"""),45805.0)</f>
        <v>45805</v>
      </c>
      <c r="G1347" s="12"/>
      <c r="H1347" s="12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</row>
    <row r="1348">
      <c r="A1348" s="11" t="str">
        <f>IFERROR(__xludf.DUMMYFUNCTION("""COMPUTED_VALUE"""),"Treace Medical Concepts Inc  Com")</f>
        <v>Treace Medical Concepts Inc  Com</v>
      </c>
      <c r="B1348" s="12" t="str">
        <f>IFERROR(__xludf.DUMMYFUNCTION("""COMPUTED_VALUE"""),"TMCI-US")</f>
        <v>TMCI-US</v>
      </c>
      <c r="C1348" s="12"/>
      <c r="D1348" s="13">
        <f>IFERROR(__xludf.DUMMYFUNCTION("""COMPUTED_VALUE"""),45442.0)</f>
        <v>45442</v>
      </c>
      <c r="E1348" s="13">
        <f>IFERROR(__xludf.DUMMYFUNCTION("""COMPUTED_VALUE"""),45797.0)</f>
        <v>45797</v>
      </c>
      <c r="F1348" s="13">
        <f>IFERROR(__xludf.DUMMYFUNCTION("""COMPUTED_VALUE"""),45797.0)</f>
        <v>45797</v>
      </c>
      <c r="G1348" s="12"/>
      <c r="H1348" s="12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</row>
    <row r="1349">
      <c r="A1349" s="11" t="str">
        <f>IFERROR(__xludf.DUMMYFUNCTION("""COMPUTED_VALUE"""),"Liberty Latin America Ltd  Cl A")</f>
        <v>Liberty Latin America Ltd  Cl A</v>
      </c>
      <c r="B1349" s="12" t="str">
        <f>IFERROR(__xludf.DUMMYFUNCTION("""COMPUTED_VALUE"""),"LILA-US")</f>
        <v>LILA-US</v>
      </c>
      <c r="C1349" s="12"/>
      <c r="D1349" s="13">
        <f>IFERROR(__xludf.DUMMYFUNCTION("""COMPUTED_VALUE"""),45442.0)</f>
        <v>45442</v>
      </c>
      <c r="E1349" s="13">
        <f>IFERROR(__xludf.DUMMYFUNCTION("""COMPUTED_VALUE"""),45804.0)</f>
        <v>45804</v>
      </c>
      <c r="F1349" s="13">
        <f>IFERROR(__xludf.DUMMYFUNCTION("""COMPUTED_VALUE"""),45804.0)</f>
        <v>45804</v>
      </c>
      <c r="G1349" s="12"/>
      <c r="H1349" s="12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</row>
    <row r="1350">
      <c r="A1350" s="11" t="str">
        <f>IFERROR(__xludf.DUMMYFUNCTION("""COMPUTED_VALUE"""),"4D Molecular Therapeutics Inc  Com")</f>
        <v>4D Molecular Therapeutics Inc  Com</v>
      </c>
      <c r="B1350" s="12" t="str">
        <f>IFERROR(__xludf.DUMMYFUNCTION("""COMPUTED_VALUE"""),"FDMT-US")</f>
        <v>FDMT-US</v>
      </c>
      <c r="C1350" s="12"/>
      <c r="D1350" s="13">
        <f>IFERROR(__xludf.DUMMYFUNCTION("""COMPUTED_VALUE"""),45442.0)</f>
        <v>45442</v>
      </c>
      <c r="E1350" s="13">
        <f>IFERROR(__xludf.DUMMYFUNCTION("""COMPUTED_VALUE"""),45825.0)</f>
        <v>45825</v>
      </c>
      <c r="F1350" s="13">
        <f>IFERROR(__xludf.DUMMYFUNCTION("""COMPUTED_VALUE"""),45825.0)</f>
        <v>45825</v>
      </c>
      <c r="G1350" s="12"/>
      <c r="H1350" s="12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</row>
    <row r="1351">
      <c r="A1351" s="11" t="str">
        <f>IFERROR(__xludf.DUMMYFUNCTION("""COMPUTED_VALUE"""),"Beyond Inc  Com")</f>
        <v>Beyond Inc  Com</v>
      </c>
      <c r="B1351" s="12" t="str">
        <f>IFERROR(__xludf.DUMMYFUNCTION("""COMPUTED_VALUE"""),"BYON-US")</f>
        <v>BYON-US</v>
      </c>
      <c r="C1351" s="12"/>
      <c r="D1351" s="13">
        <f>IFERROR(__xludf.DUMMYFUNCTION("""COMPUTED_VALUE"""),45442.0)</f>
        <v>45442</v>
      </c>
      <c r="E1351" s="13">
        <f>IFERROR(__xludf.DUMMYFUNCTION("""COMPUTED_VALUE"""),45792.0)</f>
        <v>45792</v>
      </c>
      <c r="F1351" s="13">
        <f>IFERROR(__xludf.DUMMYFUNCTION("""COMPUTED_VALUE"""),45792.0)</f>
        <v>45792</v>
      </c>
      <c r="G1351" s="12"/>
      <c r="H1351" s="12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</row>
    <row r="1352">
      <c r="A1352" s="11" t="str">
        <f>IFERROR(__xludf.DUMMYFUNCTION("""COMPUTED_VALUE"""),"Macrogenics Inc  Com")</f>
        <v>Macrogenics Inc  Com</v>
      </c>
      <c r="B1352" s="12" t="str">
        <f>IFERROR(__xludf.DUMMYFUNCTION("""COMPUTED_VALUE"""),"MGNX-US")</f>
        <v>MGNX-US</v>
      </c>
      <c r="C1352" s="12"/>
      <c r="D1352" s="13">
        <f>IFERROR(__xludf.DUMMYFUNCTION("""COMPUTED_VALUE"""),45442.0)</f>
        <v>45442</v>
      </c>
      <c r="E1352" s="13">
        <f>IFERROR(__xludf.DUMMYFUNCTION("""COMPUTED_VALUE"""),45798.0)</f>
        <v>45798</v>
      </c>
      <c r="F1352" s="13">
        <f>IFERROR(__xludf.DUMMYFUNCTION("""COMPUTED_VALUE"""),45798.0)</f>
        <v>45798</v>
      </c>
      <c r="G1352" s="12"/>
      <c r="H1352" s="12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</row>
    <row r="1353">
      <c r="A1353" s="11" t="str">
        <f>IFERROR(__xludf.DUMMYFUNCTION("""COMPUTED_VALUE"""),"Inovio Pharmaceuticals Inc  Com")</f>
        <v>Inovio Pharmaceuticals Inc  Com</v>
      </c>
      <c r="B1353" s="12" t="str">
        <f>IFERROR(__xludf.DUMMYFUNCTION("""COMPUTED_VALUE"""),"INO-US")</f>
        <v>INO-US</v>
      </c>
      <c r="C1353" s="12"/>
      <c r="D1353" s="13">
        <f>IFERROR(__xludf.DUMMYFUNCTION("""COMPUTED_VALUE"""),45442.0)</f>
        <v>45442</v>
      </c>
      <c r="E1353" s="13">
        <f>IFERROR(__xludf.DUMMYFUNCTION("""COMPUTED_VALUE"""),45797.0)</f>
        <v>45797</v>
      </c>
      <c r="F1353" s="13">
        <f>IFERROR(__xludf.DUMMYFUNCTION("""COMPUTED_VALUE"""),45797.0)</f>
        <v>45797</v>
      </c>
      <c r="G1353" s="12"/>
      <c r="H1353" s="12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</row>
    <row r="1354">
      <c r="A1354" s="11" t="str">
        <f>IFERROR(__xludf.DUMMYFUNCTION("""COMPUTED_VALUE"""),"Star Holdings  Com")</f>
        <v>Star Holdings  Com</v>
      </c>
      <c r="B1354" s="12" t="str">
        <f>IFERROR(__xludf.DUMMYFUNCTION("""COMPUTED_VALUE"""),"STHO-US")</f>
        <v>STHO-US</v>
      </c>
      <c r="C1354" s="12"/>
      <c r="D1354" s="13">
        <f>IFERROR(__xludf.DUMMYFUNCTION("""COMPUTED_VALUE"""),45442.0)</f>
        <v>45442</v>
      </c>
      <c r="E1354" s="13">
        <f>IFERROR(__xludf.DUMMYFUNCTION("""COMPUTED_VALUE"""),45798.0)</f>
        <v>45798</v>
      </c>
      <c r="F1354" s="13">
        <f>IFERROR(__xludf.DUMMYFUNCTION("""COMPUTED_VALUE"""),45798.0)</f>
        <v>45798</v>
      </c>
      <c r="G1354" s="12"/>
      <c r="H1354" s="12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</row>
    <row r="1355">
      <c r="A1355" s="11" t="str">
        <f>IFERROR(__xludf.DUMMYFUNCTION("""COMPUTED_VALUE"""),"Consolidated Edison Inc  Com")</f>
        <v>Consolidated Edison Inc  Com</v>
      </c>
      <c r="B1355" s="12" t="str">
        <f>IFERROR(__xludf.DUMMYFUNCTION("""COMPUTED_VALUE"""),"ED-US")</f>
        <v>ED-US</v>
      </c>
      <c r="C1355" s="12"/>
      <c r="D1355" s="13">
        <f>IFERROR(__xludf.DUMMYFUNCTION("""COMPUTED_VALUE"""),45442.0)</f>
        <v>45442</v>
      </c>
      <c r="E1355" s="13">
        <f>IFERROR(__xludf.DUMMYFUNCTION("""COMPUTED_VALUE"""),45796.0)</f>
        <v>45796</v>
      </c>
      <c r="F1355" s="13">
        <f>IFERROR(__xludf.DUMMYFUNCTION("""COMPUTED_VALUE"""),45796.0)</f>
        <v>45796</v>
      </c>
      <c r="G1355" s="12"/>
      <c r="H1355" s="12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</row>
    <row r="1356">
      <c r="A1356" s="11" t="str">
        <f>IFERROR(__xludf.DUMMYFUNCTION("""COMPUTED_VALUE"""),"Chemed Corp  Com")</f>
        <v>Chemed Corp  Com</v>
      </c>
      <c r="B1356" s="12" t="str">
        <f>IFERROR(__xludf.DUMMYFUNCTION("""COMPUTED_VALUE"""),"CHE-US")</f>
        <v>CHE-US</v>
      </c>
      <c r="C1356" s="12"/>
      <c r="D1356" s="13">
        <f>IFERROR(__xludf.DUMMYFUNCTION("""COMPUTED_VALUE"""),45442.0)</f>
        <v>45442</v>
      </c>
      <c r="E1356" s="13">
        <f>IFERROR(__xludf.DUMMYFUNCTION("""COMPUTED_VALUE"""),45796.0)</f>
        <v>45796</v>
      </c>
      <c r="F1356" s="13">
        <f>IFERROR(__xludf.DUMMYFUNCTION("""COMPUTED_VALUE"""),45796.0)</f>
        <v>45796</v>
      </c>
      <c r="G1356" s="12"/>
      <c r="H1356" s="12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</row>
    <row r="1357">
      <c r="A1357" s="11" t="str">
        <f>IFERROR(__xludf.DUMMYFUNCTION("""COMPUTED_VALUE"""),"Servisfirst Bancshares Inc  Com")</f>
        <v>Servisfirst Bancshares Inc  Com</v>
      </c>
      <c r="B1357" s="12" t="str">
        <f>IFERROR(__xludf.DUMMYFUNCTION("""COMPUTED_VALUE"""),"SFBS-US")</f>
        <v>SFBS-US</v>
      </c>
      <c r="C1357" s="12"/>
      <c r="D1357" s="13">
        <f>IFERROR(__xludf.DUMMYFUNCTION("""COMPUTED_VALUE"""),45442.0)</f>
        <v>45442</v>
      </c>
      <c r="E1357" s="13">
        <f>IFERROR(__xludf.DUMMYFUNCTION("""COMPUTED_VALUE"""),45796.0)</f>
        <v>45796</v>
      </c>
      <c r="F1357" s="13">
        <f>IFERROR(__xludf.DUMMYFUNCTION("""COMPUTED_VALUE"""),45796.0)</f>
        <v>45796</v>
      </c>
      <c r="G1357" s="12"/>
      <c r="H1357" s="12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</row>
    <row r="1358">
      <c r="A1358" s="11" t="str">
        <f>IFERROR(__xludf.DUMMYFUNCTION("""COMPUTED_VALUE"""),"Rxo Inc  Com")</f>
        <v>Rxo Inc  Com</v>
      </c>
      <c r="B1358" s="12" t="str">
        <f>IFERROR(__xludf.DUMMYFUNCTION("""COMPUTED_VALUE"""),"RXO-US")</f>
        <v>RXO-US</v>
      </c>
      <c r="C1358" s="12"/>
      <c r="D1358" s="13">
        <f>IFERROR(__xludf.DUMMYFUNCTION("""COMPUTED_VALUE"""),45442.0)</f>
        <v>45442</v>
      </c>
      <c r="E1358" s="13">
        <f>IFERROR(__xludf.DUMMYFUNCTION("""COMPUTED_VALUE"""),45798.0)</f>
        <v>45798</v>
      </c>
      <c r="F1358" s="13">
        <f>IFERROR(__xludf.DUMMYFUNCTION("""COMPUTED_VALUE"""),45798.0)</f>
        <v>45798</v>
      </c>
      <c r="G1358" s="12"/>
      <c r="H1358" s="12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</row>
    <row r="1359">
      <c r="A1359" s="11" t="str">
        <f>IFERROR(__xludf.DUMMYFUNCTION("""COMPUTED_VALUE"""),"International Bancshares Corp  Com")</f>
        <v>International Bancshares Corp  Com</v>
      </c>
      <c r="B1359" s="12" t="str">
        <f>IFERROR(__xludf.DUMMYFUNCTION("""COMPUTED_VALUE"""),"IBOC-US")</f>
        <v>IBOC-US</v>
      </c>
      <c r="C1359" s="12"/>
      <c r="D1359" s="13">
        <f>IFERROR(__xludf.DUMMYFUNCTION("""COMPUTED_VALUE"""),45442.0)</f>
        <v>45442</v>
      </c>
      <c r="E1359" s="13">
        <f>IFERROR(__xludf.DUMMYFUNCTION("""COMPUTED_VALUE"""),45796.0)</f>
        <v>45796</v>
      </c>
      <c r="F1359" s="13">
        <f>IFERROR(__xludf.DUMMYFUNCTION("""COMPUTED_VALUE"""),45796.0)</f>
        <v>45796</v>
      </c>
      <c r="G1359" s="12"/>
      <c r="H1359" s="12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</row>
    <row r="1360">
      <c r="A1360" s="11" t="str">
        <f>IFERROR(__xludf.DUMMYFUNCTION("""COMPUTED_VALUE"""),"Fulton Financial Corp/Pa  Com")</f>
        <v>Fulton Financial Corp/Pa  Com</v>
      </c>
      <c r="B1360" s="12" t="str">
        <f>IFERROR(__xludf.DUMMYFUNCTION("""COMPUTED_VALUE"""),"FULT-US")</f>
        <v>FULT-US</v>
      </c>
      <c r="C1360" s="12"/>
      <c r="D1360" s="13">
        <f>IFERROR(__xludf.DUMMYFUNCTION("""COMPUTED_VALUE"""),45442.0)</f>
        <v>45442</v>
      </c>
      <c r="E1360" s="13">
        <f>IFERROR(__xludf.DUMMYFUNCTION("""COMPUTED_VALUE"""),45797.0)</f>
        <v>45797</v>
      </c>
      <c r="F1360" s="13">
        <f>IFERROR(__xludf.DUMMYFUNCTION("""COMPUTED_VALUE"""),45797.0)</f>
        <v>45797</v>
      </c>
      <c r="G1360" s="12"/>
      <c r="H1360" s="12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</row>
    <row r="1361">
      <c r="A1361" s="11" t="str">
        <f>IFERROR(__xludf.DUMMYFUNCTION("""COMPUTED_VALUE"""),"Trinity Industries Inc  Com")</f>
        <v>Trinity Industries Inc  Com</v>
      </c>
      <c r="B1361" s="12" t="str">
        <f>IFERROR(__xludf.DUMMYFUNCTION("""COMPUTED_VALUE"""),"TRN-US")</f>
        <v>TRN-US</v>
      </c>
      <c r="C1361" s="12"/>
      <c r="D1361" s="13">
        <f>IFERROR(__xludf.DUMMYFUNCTION("""COMPUTED_VALUE"""),45442.0)</f>
        <v>45442</v>
      </c>
      <c r="E1361" s="13">
        <f>IFERROR(__xludf.DUMMYFUNCTION("""COMPUTED_VALUE"""),45792.0)</f>
        <v>45792</v>
      </c>
      <c r="F1361" s="13">
        <f>IFERROR(__xludf.DUMMYFUNCTION("""COMPUTED_VALUE"""),45792.0)</f>
        <v>45792</v>
      </c>
      <c r="G1361" s="12"/>
      <c r="H1361" s="12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</row>
    <row r="1362">
      <c r="A1362" s="11" t="str">
        <f>IFERROR(__xludf.DUMMYFUNCTION("""COMPUTED_VALUE"""),"Enovis Corp  Com")</f>
        <v>Enovis Corp  Com</v>
      </c>
      <c r="B1362" s="12" t="str">
        <f>IFERROR(__xludf.DUMMYFUNCTION("""COMPUTED_VALUE"""),"ENOV-US")</f>
        <v>ENOV-US</v>
      </c>
      <c r="C1362" s="12"/>
      <c r="D1362" s="13">
        <f>IFERROR(__xludf.DUMMYFUNCTION("""COMPUTED_VALUE"""),45443.0)</f>
        <v>45443</v>
      </c>
      <c r="E1362" s="13">
        <f>IFERROR(__xludf.DUMMYFUNCTION("""COMPUTED_VALUE"""),45798.0)</f>
        <v>45798</v>
      </c>
      <c r="F1362" s="13">
        <f>IFERROR(__xludf.DUMMYFUNCTION("""COMPUTED_VALUE"""),45798.0)</f>
        <v>45798</v>
      </c>
      <c r="G1362" s="12"/>
      <c r="H1362" s="12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</row>
    <row r="1363">
      <c r="A1363" s="11" t="str">
        <f>IFERROR(__xludf.DUMMYFUNCTION("""COMPUTED_VALUE"""),"Kinetik Holdings Inc  Cl A")</f>
        <v>Kinetik Holdings Inc  Cl A</v>
      </c>
      <c r="B1363" s="12" t="str">
        <f>IFERROR(__xludf.DUMMYFUNCTION("""COMPUTED_VALUE"""),"KNTK-US")</f>
        <v>KNTK-US</v>
      </c>
      <c r="C1363" s="12"/>
      <c r="D1363" s="13">
        <f>IFERROR(__xludf.DUMMYFUNCTION("""COMPUTED_VALUE"""),45443.0)</f>
        <v>45443</v>
      </c>
      <c r="E1363" s="13">
        <f>IFERROR(__xludf.DUMMYFUNCTION("""COMPUTED_VALUE"""),45796.0)</f>
        <v>45796</v>
      </c>
      <c r="F1363" s="13">
        <f>IFERROR(__xludf.DUMMYFUNCTION("""COMPUTED_VALUE"""),45796.0)</f>
        <v>45796</v>
      </c>
      <c r="G1363" s="12"/>
      <c r="H1363" s="12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</row>
    <row r="1364">
      <c r="A1364" s="11" t="str">
        <f>IFERROR(__xludf.DUMMYFUNCTION("""COMPUTED_VALUE"""),"Siriuspoint Ltd  Com")</f>
        <v>Siriuspoint Ltd  Com</v>
      </c>
      <c r="B1364" s="12" t="str">
        <f>IFERROR(__xludf.DUMMYFUNCTION("""COMPUTED_VALUE"""),"SPNT-US")</f>
        <v>SPNT-US</v>
      </c>
      <c r="C1364" s="12"/>
      <c r="D1364" s="13">
        <f>IFERROR(__xludf.DUMMYFUNCTION("""COMPUTED_VALUE"""),45443.0)</f>
        <v>45443</v>
      </c>
      <c r="E1364" s="13">
        <f>IFERROR(__xludf.DUMMYFUNCTION("""COMPUTED_VALUE"""),45797.0)</f>
        <v>45797</v>
      </c>
      <c r="F1364" s="13">
        <f>IFERROR(__xludf.DUMMYFUNCTION("""COMPUTED_VALUE"""),45797.0)</f>
        <v>45797</v>
      </c>
      <c r="G1364" s="12"/>
      <c r="H1364" s="12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</row>
    <row r="1365">
      <c r="A1365" s="11" t="str">
        <f>IFERROR(__xludf.DUMMYFUNCTION("""COMPUTED_VALUE"""),"Nicolet Bankshares Inc  Com")</f>
        <v>Nicolet Bankshares Inc  Com</v>
      </c>
      <c r="B1365" s="12" t="str">
        <f>IFERROR(__xludf.DUMMYFUNCTION("""COMPUTED_VALUE"""),"NIC-US")</f>
        <v>NIC-US</v>
      </c>
      <c r="C1365" s="12"/>
      <c r="D1365" s="13">
        <f>IFERROR(__xludf.DUMMYFUNCTION("""COMPUTED_VALUE"""),45443.0)</f>
        <v>45443</v>
      </c>
      <c r="E1365" s="13">
        <f>IFERROR(__xludf.DUMMYFUNCTION("""COMPUTED_VALUE"""),45796.0)</f>
        <v>45796</v>
      </c>
      <c r="F1365" s="13">
        <f>IFERROR(__xludf.DUMMYFUNCTION("""COMPUTED_VALUE"""),45796.0)</f>
        <v>45796</v>
      </c>
      <c r="G1365" s="12"/>
      <c r="H1365" s="12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</row>
    <row r="1366">
      <c r="A1366" s="11" t="str">
        <f>IFERROR(__xludf.DUMMYFUNCTION("""COMPUTED_VALUE"""),"Nurix Therapeutics Inc  Com")</f>
        <v>Nurix Therapeutics Inc  Com</v>
      </c>
      <c r="B1366" s="12" t="str">
        <f>IFERROR(__xludf.DUMMYFUNCTION("""COMPUTED_VALUE"""),"NRIX-US")</f>
        <v>NRIX-US</v>
      </c>
      <c r="C1366" s="12"/>
      <c r="D1366" s="13">
        <f>IFERROR(__xludf.DUMMYFUNCTION("""COMPUTED_VALUE"""),45443.0)</f>
        <v>45443</v>
      </c>
      <c r="E1366" s="13">
        <f>IFERROR(__xludf.DUMMYFUNCTION("""COMPUTED_VALUE"""),45796.0)</f>
        <v>45796</v>
      </c>
      <c r="F1366" s="13">
        <f>IFERROR(__xludf.DUMMYFUNCTION("""COMPUTED_VALUE"""),45796.0)</f>
        <v>45796</v>
      </c>
      <c r="G1366" s="12"/>
      <c r="H1366" s="12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</row>
    <row r="1367">
      <c r="A1367" s="11" t="str">
        <f>IFERROR(__xludf.DUMMYFUNCTION("""COMPUTED_VALUE"""),"Centerspace  Sbi")</f>
        <v>Centerspace  Sbi</v>
      </c>
      <c r="B1367" s="12" t="str">
        <f>IFERROR(__xludf.DUMMYFUNCTION("""COMPUTED_VALUE"""),"CSR-US")</f>
        <v>CSR-US</v>
      </c>
      <c r="C1367" s="12"/>
      <c r="D1367" s="13">
        <f>IFERROR(__xludf.DUMMYFUNCTION("""COMPUTED_VALUE"""),45443.0)</f>
        <v>45443</v>
      </c>
      <c r="E1367" s="13">
        <f>IFERROR(__xludf.DUMMYFUNCTION("""COMPUTED_VALUE"""),45791.0)</f>
        <v>45791</v>
      </c>
      <c r="F1367" s="13">
        <f>IFERROR(__xludf.DUMMYFUNCTION("""COMPUTED_VALUE"""),45791.0)</f>
        <v>45791</v>
      </c>
      <c r="G1367" s="12"/>
      <c r="H1367" s="12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</row>
    <row r="1368">
      <c r="A1368" s="11" t="str">
        <f>IFERROR(__xludf.DUMMYFUNCTION("""COMPUTED_VALUE"""),"Ceco Environmental Corp  Com")</f>
        <v>Ceco Environmental Corp  Com</v>
      </c>
      <c r="B1368" s="12" t="str">
        <f>IFERROR(__xludf.DUMMYFUNCTION("""COMPUTED_VALUE"""),"CECO-US")</f>
        <v>CECO-US</v>
      </c>
      <c r="C1368" s="12"/>
      <c r="D1368" s="13">
        <f>IFERROR(__xludf.DUMMYFUNCTION("""COMPUTED_VALUE"""),45443.0)</f>
        <v>45443</v>
      </c>
      <c r="E1368" s="13">
        <f>IFERROR(__xludf.DUMMYFUNCTION("""COMPUTED_VALUE"""),45797.0)</f>
        <v>45797</v>
      </c>
      <c r="F1368" s="13">
        <f>IFERROR(__xludf.DUMMYFUNCTION("""COMPUTED_VALUE"""),45797.0)</f>
        <v>45797</v>
      </c>
      <c r="G1368" s="12"/>
      <c r="H1368" s="12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</row>
    <row r="1369">
      <c r="A1369" s="11" t="str">
        <f>IFERROR(__xludf.DUMMYFUNCTION("""COMPUTED_VALUE"""),"First Internet Bancorp  Com")</f>
        <v>First Internet Bancorp  Com</v>
      </c>
      <c r="B1369" s="12" t="str">
        <f>IFERROR(__xludf.DUMMYFUNCTION("""COMPUTED_VALUE"""),"INBK-US")</f>
        <v>INBK-US</v>
      </c>
      <c r="C1369" s="12"/>
      <c r="D1369" s="13">
        <f>IFERROR(__xludf.DUMMYFUNCTION("""COMPUTED_VALUE"""),45443.0)</f>
        <v>45443</v>
      </c>
      <c r="E1369" s="13">
        <f>IFERROR(__xludf.DUMMYFUNCTION("""COMPUTED_VALUE"""),45796.0)</f>
        <v>45796</v>
      </c>
      <c r="F1369" s="13">
        <f>IFERROR(__xludf.DUMMYFUNCTION("""COMPUTED_VALUE"""),45796.0)</f>
        <v>45796</v>
      </c>
      <c r="G1369" s="12"/>
      <c r="H1369" s="12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</row>
    <row r="1370">
      <c r="A1370" s="11" t="str">
        <f>IFERROR(__xludf.DUMMYFUNCTION("""COMPUTED_VALUE"""),"Asure Software Inc  Com")</f>
        <v>Asure Software Inc  Com</v>
      </c>
      <c r="B1370" s="12" t="str">
        <f>IFERROR(__xludf.DUMMYFUNCTION("""COMPUTED_VALUE"""),"ASUR-US")</f>
        <v>ASUR-US</v>
      </c>
      <c r="C1370" s="12"/>
      <c r="D1370" s="13">
        <f>IFERROR(__xludf.DUMMYFUNCTION("""COMPUTED_VALUE"""),45443.0)</f>
        <v>45443</v>
      </c>
      <c r="E1370" s="13">
        <f>IFERROR(__xludf.DUMMYFUNCTION("""COMPUTED_VALUE"""),45810.0)</f>
        <v>45810</v>
      </c>
      <c r="F1370" s="13">
        <f>IFERROR(__xludf.DUMMYFUNCTION("""COMPUTED_VALUE"""),45810.0)</f>
        <v>45810</v>
      </c>
      <c r="G1370" s="12"/>
      <c r="H1370" s="12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</row>
    <row r="1371">
      <c r="A1371" s="11" t="str">
        <f>IFERROR(__xludf.DUMMYFUNCTION("""COMPUTED_VALUE"""),"Dillards Inc  Cl A")</f>
        <v>Dillards Inc  Cl A</v>
      </c>
      <c r="B1371" s="12" t="str">
        <f>IFERROR(__xludf.DUMMYFUNCTION("""COMPUTED_VALUE"""),"DDS-US")</f>
        <v>DDS-US</v>
      </c>
      <c r="C1371" s="12"/>
      <c r="D1371" s="13">
        <f>IFERROR(__xludf.DUMMYFUNCTION("""COMPUTED_VALUE"""),45443.0)</f>
        <v>45443</v>
      </c>
      <c r="E1371" s="13">
        <f>IFERROR(__xludf.DUMMYFUNCTION("""COMPUTED_VALUE"""),45794.0)</f>
        <v>45794</v>
      </c>
      <c r="F1371" s="13">
        <f>IFERROR(__xludf.DUMMYFUNCTION("""COMPUTED_VALUE"""),45794.0)</f>
        <v>45794</v>
      </c>
      <c r="G1371" s="12"/>
      <c r="H1371" s="12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</row>
    <row r="1372">
      <c r="A1372" s="11" t="str">
        <f>IFERROR(__xludf.DUMMYFUNCTION("""COMPUTED_VALUE"""),"Boeing Co  Com")</f>
        <v>Boeing Co  Com</v>
      </c>
      <c r="B1372" s="12" t="str">
        <f>IFERROR(__xludf.DUMMYFUNCTION("""COMPUTED_VALUE"""),"BA-US")</f>
        <v>BA-US</v>
      </c>
      <c r="C1372" s="12"/>
      <c r="D1372" s="13">
        <f>IFERROR(__xludf.DUMMYFUNCTION("""COMPUTED_VALUE"""),45443.0)</f>
        <v>45443</v>
      </c>
      <c r="E1372" s="13">
        <f>IFERROR(__xludf.DUMMYFUNCTION("""COMPUTED_VALUE"""),45771.0)</f>
        <v>45771</v>
      </c>
      <c r="F1372" s="13">
        <f>IFERROR(__xludf.DUMMYFUNCTION("""COMPUTED_VALUE"""),45771.0)</f>
        <v>45771</v>
      </c>
      <c r="G1372" s="12"/>
      <c r="H1372" s="12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</row>
    <row r="1373">
      <c r="A1373" s="11" t="str">
        <f>IFERROR(__xludf.DUMMYFUNCTION("""COMPUTED_VALUE"""),"Intercontinental Exchange Inc  Com")</f>
        <v>Intercontinental Exchange Inc  Com</v>
      </c>
      <c r="B1373" s="12" t="str">
        <f>IFERROR(__xludf.DUMMYFUNCTION("""COMPUTED_VALUE"""),"ICE-US")</f>
        <v>ICE-US</v>
      </c>
      <c r="C1373" s="12"/>
      <c r="D1373" s="13">
        <f>IFERROR(__xludf.DUMMYFUNCTION("""COMPUTED_VALUE"""),45443.0)</f>
        <v>45443</v>
      </c>
      <c r="E1373" s="13">
        <f>IFERROR(__xludf.DUMMYFUNCTION("""COMPUTED_VALUE"""),45793.0)</f>
        <v>45793</v>
      </c>
      <c r="F1373" s="13">
        <f>IFERROR(__xludf.DUMMYFUNCTION("""COMPUTED_VALUE"""),45793.0)</f>
        <v>45793</v>
      </c>
      <c r="G1373" s="12"/>
      <c r="H1373" s="12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</row>
    <row r="1374">
      <c r="A1374" s="11" t="str">
        <f>IFERROR(__xludf.DUMMYFUNCTION("""COMPUTED_VALUE"""),"Comfort Systems Usa Inc  Com")</f>
        <v>Comfort Systems Usa Inc  Com</v>
      </c>
      <c r="B1374" s="12" t="str">
        <f>IFERROR(__xludf.DUMMYFUNCTION("""COMPUTED_VALUE"""),"FIX-US")</f>
        <v>FIX-US</v>
      </c>
      <c r="C1374" s="12"/>
      <c r="D1374" s="13">
        <f>IFERROR(__xludf.DUMMYFUNCTION("""COMPUTED_VALUE"""),45443.0)</f>
        <v>45443</v>
      </c>
      <c r="E1374" s="13">
        <f>IFERROR(__xludf.DUMMYFUNCTION("""COMPUTED_VALUE"""),45793.0)</f>
        <v>45793</v>
      </c>
      <c r="F1374" s="13">
        <f>IFERROR(__xludf.DUMMYFUNCTION("""COMPUTED_VALUE"""),45793.0)</f>
        <v>45793</v>
      </c>
      <c r="G1374" s="12"/>
      <c r="H1374" s="12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</row>
    <row r="1375">
      <c r="A1375" s="11" t="str">
        <f>IFERROR(__xludf.DUMMYFUNCTION("""COMPUTED_VALUE"""),"Alliant Energy Corp  Com")</f>
        <v>Alliant Energy Corp  Com</v>
      </c>
      <c r="B1375" s="12" t="str">
        <f>IFERROR(__xludf.DUMMYFUNCTION("""COMPUTED_VALUE"""),"LNT-US")</f>
        <v>LNT-US</v>
      </c>
      <c r="C1375" s="12"/>
      <c r="D1375" s="13">
        <f>IFERROR(__xludf.DUMMYFUNCTION("""COMPUTED_VALUE"""),45078.0)</f>
        <v>45078</v>
      </c>
      <c r="E1375" s="13">
        <f>IFERROR(__xludf.DUMMYFUNCTION("""COMPUTED_VALUE"""),45793.0)</f>
        <v>45793</v>
      </c>
      <c r="F1375" s="13">
        <f>IFERROR(__xludf.DUMMYFUNCTION("""COMPUTED_VALUE"""),45793.0)</f>
        <v>45793</v>
      </c>
      <c r="G1375" s="12"/>
      <c r="H1375" s="12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</row>
    <row r="1376">
      <c r="A1376" s="11" t="str">
        <f>IFERROR(__xludf.DUMMYFUNCTION("""COMPUTED_VALUE"""),"Medpace Holdings Inc  Com")</f>
        <v>Medpace Holdings Inc  Com</v>
      </c>
      <c r="B1376" s="12" t="str">
        <f>IFERROR(__xludf.DUMMYFUNCTION("""COMPUTED_VALUE"""),"MEDP-US")</f>
        <v>MEDP-US</v>
      </c>
      <c r="C1376" s="12"/>
      <c r="D1376" s="13">
        <f>IFERROR(__xludf.DUMMYFUNCTION("""COMPUTED_VALUE"""),45446.0)</f>
        <v>45446</v>
      </c>
      <c r="E1376" s="13">
        <f>IFERROR(__xludf.DUMMYFUNCTION("""COMPUTED_VALUE"""),45793.0)</f>
        <v>45793</v>
      </c>
      <c r="F1376" s="13">
        <f>IFERROR(__xludf.DUMMYFUNCTION("""COMPUTED_VALUE"""),45793.0)</f>
        <v>45793</v>
      </c>
      <c r="G1376" s="12"/>
      <c r="H1376" s="12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</row>
    <row r="1377">
      <c r="A1377" s="11" t="str">
        <f>IFERROR(__xludf.DUMMYFUNCTION("""COMPUTED_VALUE"""),"Corcept Therapeutics Inc  Com")</f>
        <v>Corcept Therapeutics Inc  Com</v>
      </c>
      <c r="B1377" s="12" t="str">
        <f>IFERROR(__xludf.DUMMYFUNCTION("""COMPUTED_VALUE"""),"CORT-US")</f>
        <v>CORT-US</v>
      </c>
      <c r="C1377" s="12"/>
      <c r="D1377" s="13">
        <f>IFERROR(__xludf.DUMMYFUNCTION("""COMPUTED_VALUE"""),45446.0)</f>
        <v>45446</v>
      </c>
      <c r="E1377" s="13">
        <f>IFERROR(__xludf.DUMMYFUNCTION("""COMPUTED_VALUE"""),45818.0)</f>
        <v>45818</v>
      </c>
      <c r="F1377" s="13">
        <f>IFERROR(__xludf.DUMMYFUNCTION("""COMPUTED_VALUE"""),45818.0)</f>
        <v>45818</v>
      </c>
      <c r="G1377" s="12"/>
      <c r="H1377" s="12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</row>
    <row r="1378">
      <c r="A1378" s="11" t="str">
        <f>IFERROR(__xludf.DUMMYFUNCTION("""COMPUTED_VALUE"""),"Krystal Biotech Inc  Com")</f>
        <v>Krystal Biotech Inc  Com</v>
      </c>
      <c r="B1378" s="12" t="str">
        <f>IFERROR(__xludf.DUMMYFUNCTION("""COMPUTED_VALUE"""),"KRYS-US")</f>
        <v>KRYS-US</v>
      </c>
      <c r="C1378" s="12"/>
      <c r="D1378" s="13">
        <f>IFERROR(__xludf.DUMMYFUNCTION("""COMPUTED_VALUE"""),45446.0)</f>
        <v>45446</v>
      </c>
      <c r="E1378" s="13">
        <f>IFERROR(__xludf.DUMMYFUNCTION("""COMPUTED_VALUE"""),45793.0)</f>
        <v>45793</v>
      </c>
      <c r="F1378" s="13">
        <f>IFERROR(__xludf.DUMMYFUNCTION("""COMPUTED_VALUE"""),45793.0)</f>
        <v>45793</v>
      </c>
      <c r="G1378" s="12"/>
      <c r="H1378" s="12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</row>
    <row r="1379">
      <c r="A1379" s="11" t="str">
        <f>IFERROR(__xludf.DUMMYFUNCTION("""COMPUTED_VALUE"""),"Power Integrations Inc  Com")</f>
        <v>Power Integrations Inc  Com</v>
      </c>
      <c r="B1379" s="12" t="str">
        <f>IFERROR(__xludf.DUMMYFUNCTION("""COMPUTED_VALUE"""),"POWI-US")</f>
        <v>POWI-US</v>
      </c>
      <c r="C1379" s="12"/>
      <c r="D1379" s="13">
        <f>IFERROR(__xludf.DUMMYFUNCTION("""COMPUTED_VALUE"""),45446.0)</f>
        <v>45446</v>
      </c>
      <c r="E1379" s="13">
        <f>IFERROR(__xludf.DUMMYFUNCTION("""COMPUTED_VALUE"""),45792.0)</f>
        <v>45792</v>
      </c>
      <c r="F1379" s="13">
        <f>IFERROR(__xludf.DUMMYFUNCTION("""COMPUTED_VALUE"""),45792.0)</f>
        <v>45792</v>
      </c>
      <c r="G1379" s="12"/>
      <c r="H1379" s="12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</row>
    <row r="1380">
      <c r="A1380" s="11" t="str">
        <f>IFERROR(__xludf.DUMMYFUNCTION("""COMPUTED_VALUE"""),"Tanger Inc  Com")</f>
        <v>Tanger Inc  Com</v>
      </c>
      <c r="B1380" s="12" t="str">
        <f>IFERROR(__xludf.DUMMYFUNCTION("""COMPUTED_VALUE"""),"SKT-US")</f>
        <v>SKT-US</v>
      </c>
      <c r="C1380" s="12"/>
      <c r="D1380" s="13">
        <f>IFERROR(__xludf.DUMMYFUNCTION("""COMPUTED_VALUE"""),45446.0)</f>
        <v>45446</v>
      </c>
      <c r="E1380" s="13">
        <f>IFERROR(__xludf.DUMMYFUNCTION("""COMPUTED_VALUE"""),45786.0)</f>
        <v>45786</v>
      </c>
      <c r="F1380" s="13">
        <f>IFERROR(__xludf.DUMMYFUNCTION("""COMPUTED_VALUE"""),45786.0)</f>
        <v>45786</v>
      </c>
      <c r="G1380" s="12"/>
      <c r="H1380" s="12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</row>
    <row r="1381">
      <c r="A1381" s="11" t="str">
        <f>IFERROR(__xludf.DUMMYFUNCTION("""COMPUTED_VALUE"""),"Dorman Products Inc  Com")</f>
        <v>Dorman Products Inc  Com</v>
      </c>
      <c r="B1381" s="12" t="str">
        <f>IFERROR(__xludf.DUMMYFUNCTION("""COMPUTED_VALUE"""),"DORM-US")</f>
        <v>DORM-US</v>
      </c>
      <c r="C1381" s="12"/>
      <c r="D1381" s="13">
        <f>IFERROR(__xludf.DUMMYFUNCTION("""COMPUTED_VALUE"""),45446.0)</f>
        <v>45446</v>
      </c>
      <c r="E1381" s="13">
        <f>IFERROR(__xludf.DUMMYFUNCTION("""COMPUTED_VALUE"""),45793.0)</f>
        <v>45793</v>
      </c>
      <c r="F1381" s="13">
        <f>IFERROR(__xludf.DUMMYFUNCTION("""COMPUTED_VALUE"""),45793.0)</f>
        <v>45793</v>
      </c>
      <c r="G1381" s="12"/>
      <c r="H1381" s="12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</row>
    <row r="1382">
      <c r="A1382" s="11" t="str">
        <f>IFERROR(__xludf.DUMMYFUNCTION("""COMPUTED_VALUE"""),"Formfactor Inc  Com")</f>
        <v>Formfactor Inc  Com</v>
      </c>
      <c r="B1382" s="12" t="str">
        <f>IFERROR(__xludf.DUMMYFUNCTION("""COMPUTED_VALUE"""),"FORM-US")</f>
        <v>FORM-US</v>
      </c>
      <c r="C1382" s="12"/>
      <c r="D1382" s="13">
        <f>IFERROR(__xludf.DUMMYFUNCTION("""COMPUTED_VALUE"""),45446.0)</f>
        <v>45446</v>
      </c>
      <c r="E1382" s="13">
        <f>IFERROR(__xludf.DUMMYFUNCTION("""COMPUTED_VALUE"""),45793.0)</f>
        <v>45793</v>
      </c>
      <c r="F1382" s="13">
        <f>IFERROR(__xludf.DUMMYFUNCTION("""COMPUTED_VALUE"""),45793.0)</f>
        <v>45793</v>
      </c>
      <c r="G1382" s="12"/>
      <c r="H1382" s="12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</row>
    <row r="1383">
      <c r="A1383" s="11" t="str">
        <f>IFERROR(__xludf.DUMMYFUNCTION("""COMPUTED_VALUE"""),"Hecla Mining Co  Com")</f>
        <v>Hecla Mining Co  Com</v>
      </c>
      <c r="B1383" s="12" t="str">
        <f>IFERROR(__xludf.DUMMYFUNCTION("""COMPUTED_VALUE"""),"HL-US")</f>
        <v>HL-US</v>
      </c>
      <c r="C1383" s="12"/>
      <c r="D1383" s="13">
        <f>IFERROR(__xludf.DUMMYFUNCTION("""COMPUTED_VALUE"""),45446.0)</f>
        <v>45446</v>
      </c>
      <c r="E1383" s="13">
        <f>IFERROR(__xludf.DUMMYFUNCTION("""COMPUTED_VALUE"""),45798.0)</f>
        <v>45798</v>
      </c>
      <c r="F1383" s="13">
        <f>IFERROR(__xludf.DUMMYFUNCTION("""COMPUTED_VALUE"""),45798.0)</f>
        <v>45798</v>
      </c>
      <c r="G1383" s="12"/>
      <c r="H1383" s="12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</row>
    <row r="1384">
      <c r="A1384" s="11" t="str">
        <f>IFERROR(__xludf.DUMMYFUNCTION("""COMPUTED_VALUE"""),"Western Union Co  Com")</f>
        <v>Western Union Co  Com</v>
      </c>
      <c r="B1384" s="12" t="str">
        <f>IFERROR(__xludf.DUMMYFUNCTION("""COMPUTED_VALUE"""),"WU-US")</f>
        <v>WU-US</v>
      </c>
      <c r="C1384" s="12"/>
      <c r="D1384" s="13">
        <f>IFERROR(__xludf.DUMMYFUNCTION("""COMPUTED_VALUE"""),45446.0)</f>
        <v>45446</v>
      </c>
      <c r="E1384" s="13">
        <f>IFERROR(__xludf.DUMMYFUNCTION("""COMPUTED_VALUE"""),45792.0)</f>
        <v>45792</v>
      </c>
      <c r="F1384" s="13">
        <f>IFERROR(__xludf.DUMMYFUNCTION("""COMPUTED_VALUE"""),45792.0)</f>
        <v>45792</v>
      </c>
      <c r="G1384" s="12"/>
      <c r="H1384" s="12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</row>
    <row r="1385">
      <c r="A1385" s="11" t="str">
        <f>IFERROR(__xludf.DUMMYFUNCTION("""COMPUTED_VALUE"""),"Jetblue Airways Corp  Com")</f>
        <v>Jetblue Airways Corp  Com</v>
      </c>
      <c r="B1385" s="12" t="str">
        <f>IFERROR(__xludf.DUMMYFUNCTION("""COMPUTED_VALUE"""),"JBLU-US")</f>
        <v>JBLU-US</v>
      </c>
      <c r="C1385" s="12"/>
      <c r="D1385" s="13">
        <f>IFERROR(__xludf.DUMMYFUNCTION("""COMPUTED_VALUE"""),45446.0)</f>
        <v>45446</v>
      </c>
      <c r="E1385" s="13">
        <f>IFERROR(__xludf.DUMMYFUNCTION("""COMPUTED_VALUE"""),45791.0)</f>
        <v>45791</v>
      </c>
      <c r="F1385" s="13">
        <f>IFERROR(__xludf.DUMMYFUNCTION("""COMPUTED_VALUE"""),45791.0)</f>
        <v>45791</v>
      </c>
      <c r="G1385" s="12"/>
      <c r="H1385" s="12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</row>
    <row r="1386">
      <c r="A1386" s="11" t="str">
        <f>IFERROR(__xludf.DUMMYFUNCTION("""COMPUTED_VALUE"""),"Easterly Government Properties  Com")</f>
        <v>Easterly Government Properties  Com</v>
      </c>
      <c r="B1386" s="12" t="str">
        <f>IFERROR(__xludf.DUMMYFUNCTION("""COMPUTED_VALUE"""),"DEA-US")</f>
        <v>DEA-US</v>
      </c>
      <c r="C1386" s="12"/>
      <c r="D1386" s="13">
        <f>IFERROR(__xludf.DUMMYFUNCTION("""COMPUTED_VALUE"""),45446.0)</f>
        <v>45446</v>
      </c>
      <c r="E1386" s="13">
        <f>IFERROR(__xludf.DUMMYFUNCTION("""COMPUTED_VALUE"""),45799.0)</f>
        <v>45799</v>
      </c>
      <c r="F1386" s="13">
        <f>IFERROR(__xludf.DUMMYFUNCTION("""COMPUTED_VALUE"""),45799.0)</f>
        <v>45799</v>
      </c>
      <c r="G1386" s="12"/>
      <c r="H1386" s="12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</row>
    <row r="1387">
      <c r="A1387" s="11" t="str">
        <f>IFERROR(__xludf.DUMMYFUNCTION("""COMPUTED_VALUE"""),"Ellington Financial Inc  Com")</f>
        <v>Ellington Financial Inc  Com</v>
      </c>
      <c r="B1387" s="12" t="str">
        <f>IFERROR(__xludf.DUMMYFUNCTION("""COMPUTED_VALUE"""),"EFC-US")</f>
        <v>EFC-US</v>
      </c>
      <c r="C1387" s="12"/>
      <c r="D1387" s="13">
        <f>IFERROR(__xludf.DUMMYFUNCTION("""COMPUTED_VALUE"""),45446.0)</f>
        <v>45446</v>
      </c>
      <c r="E1387" s="13">
        <f>IFERROR(__xludf.DUMMYFUNCTION("""COMPUTED_VALUE"""),45806.0)</f>
        <v>45806</v>
      </c>
      <c r="F1387" s="13">
        <f>IFERROR(__xludf.DUMMYFUNCTION("""COMPUTED_VALUE"""),45806.0)</f>
        <v>45806</v>
      </c>
      <c r="G1387" s="12"/>
      <c r="H1387" s="12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</row>
    <row r="1388">
      <c r="A1388" s="11" t="str">
        <f>IFERROR(__xludf.DUMMYFUNCTION("""COMPUTED_VALUE"""),"Dynex Capital Inc  Com")</f>
        <v>Dynex Capital Inc  Com</v>
      </c>
      <c r="B1388" s="12" t="str">
        <f>IFERROR(__xludf.DUMMYFUNCTION("""COMPUTED_VALUE"""),"DX-US")</f>
        <v>DX-US</v>
      </c>
      <c r="C1388" s="12"/>
      <c r="D1388" s="13">
        <f>IFERROR(__xludf.DUMMYFUNCTION("""COMPUTED_VALUE"""),45446.0)</f>
        <v>45446</v>
      </c>
      <c r="E1388" s="13">
        <f>IFERROR(__xludf.DUMMYFUNCTION("""COMPUTED_VALUE"""),45797.0)</f>
        <v>45797</v>
      </c>
      <c r="F1388" s="13">
        <f>IFERROR(__xludf.DUMMYFUNCTION("""COMPUTED_VALUE"""),45797.0)</f>
        <v>45797</v>
      </c>
      <c r="G1388" s="12"/>
      <c r="H1388" s="12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</row>
    <row r="1389">
      <c r="A1389" s="11" t="str">
        <f>IFERROR(__xludf.DUMMYFUNCTION("""COMPUTED_VALUE"""),"Conduent Inc  Com")</f>
        <v>Conduent Inc  Com</v>
      </c>
      <c r="B1389" s="12" t="str">
        <f>IFERROR(__xludf.DUMMYFUNCTION("""COMPUTED_VALUE"""),"CNDT-US")</f>
        <v>CNDT-US</v>
      </c>
      <c r="C1389" s="12"/>
      <c r="D1389" s="13">
        <f>IFERROR(__xludf.DUMMYFUNCTION("""COMPUTED_VALUE"""),45446.0)</f>
        <v>45446</v>
      </c>
      <c r="E1389" s="13">
        <f>IFERROR(__xludf.DUMMYFUNCTION("""COMPUTED_VALUE"""),45797.0)</f>
        <v>45797</v>
      </c>
      <c r="F1389" s="13">
        <f>IFERROR(__xludf.DUMMYFUNCTION("""COMPUTED_VALUE"""),45797.0)</f>
        <v>45797</v>
      </c>
      <c r="G1389" s="12"/>
      <c r="H1389" s="12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</row>
    <row r="1390">
      <c r="A1390" s="11" t="str">
        <f>IFERROR(__xludf.DUMMYFUNCTION("""COMPUTED_VALUE"""),"Velocity Financial Inc  Com")</f>
        <v>Velocity Financial Inc  Com</v>
      </c>
      <c r="B1390" s="12" t="str">
        <f>IFERROR(__xludf.DUMMYFUNCTION("""COMPUTED_VALUE"""),"VEL-US")</f>
        <v>VEL-US</v>
      </c>
      <c r="C1390" s="12"/>
      <c r="D1390" s="13">
        <f>IFERROR(__xludf.DUMMYFUNCTION("""COMPUTED_VALUE"""),45446.0)</f>
        <v>45446</v>
      </c>
      <c r="E1390" s="13">
        <f>IFERROR(__xludf.DUMMYFUNCTION("""COMPUTED_VALUE"""),45800.0)</f>
        <v>45800</v>
      </c>
      <c r="F1390" s="13">
        <f>IFERROR(__xludf.DUMMYFUNCTION("""COMPUTED_VALUE"""),45800.0)</f>
        <v>45800</v>
      </c>
      <c r="G1390" s="12"/>
      <c r="H1390" s="12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</row>
    <row r="1391">
      <c r="A1391" s="11" t="str">
        <f>IFERROR(__xludf.DUMMYFUNCTION("""COMPUTED_VALUE"""),"Metallus Inc  Com")</f>
        <v>Metallus Inc  Com</v>
      </c>
      <c r="B1391" s="12" t="str">
        <f>IFERROR(__xludf.DUMMYFUNCTION("""COMPUTED_VALUE"""),"MTUS-US")</f>
        <v>MTUS-US</v>
      </c>
      <c r="C1391" s="12"/>
      <c r="D1391" s="13">
        <f>IFERROR(__xludf.DUMMYFUNCTION("""COMPUTED_VALUE"""),45446.0)</f>
        <v>45446</v>
      </c>
      <c r="E1391" s="13">
        <f>IFERROR(__xludf.DUMMYFUNCTION("""COMPUTED_VALUE"""),45784.0)</f>
        <v>45784</v>
      </c>
      <c r="F1391" s="13">
        <f>IFERROR(__xludf.DUMMYFUNCTION("""COMPUTED_VALUE"""),45784.0)</f>
        <v>45784</v>
      </c>
      <c r="G1391" s="12"/>
      <c r="H1391" s="12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</row>
    <row r="1392">
      <c r="A1392" s="11" t="str">
        <f>IFERROR(__xludf.DUMMYFUNCTION("""COMPUTED_VALUE"""),"Saul Centers Inc  Com")</f>
        <v>Saul Centers Inc  Com</v>
      </c>
      <c r="B1392" s="12" t="str">
        <f>IFERROR(__xludf.DUMMYFUNCTION("""COMPUTED_VALUE"""),"BFS-US")</f>
        <v>BFS-US</v>
      </c>
      <c r="C1392" s="12"/>
      <c r="D1392" s="13">
        <f>IFERROR(__xludf.DUMMYFUNCTION("""COMPUTED_VALUE"""),45446.0)</f>
        <v>45446</v>
      </c>
      <c r="E1392" s="13">
        <f>IFERROR(__xludf.DUMMYFUNCTION("""COMPUTED_VALUE"""),45786.0)</f>
        <v>45786</v>
      </c>
      <c r="F1392" s="13">
        <f>IFERROR(__xludf.DUMMYFUNCTION("""COMPUTED_VALUE"""),45786.0)</f>
        <v>45786</v>
      </c>
      <c r="G1392" s="12"/>
      <c r="H1392" s="12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</row>
    <row r="1393">
      <c r="A1393" s="11" t="str">
        <f>IFERROR(__xludf.DUMMYFUNCTION("""COMPUTED_VALUE"""),"Cryoport Inc  Com")</f>
        <v>Cryoport Inc  Com</v>
      </c>
      <c r="B1393" s="12" t="str">
        <f>IFERROR(__xludf.DUMMYFUNCTION("""COMPUTED_VALUE"""),"CYRX-US")</f>
        <v>CYRX-US</v>
      </c>
      <c r="C1393" s="12"/>
      <c r="D1393" s="13">
        <f>IFERROR(__xludf.DUMMYFUNCTION("""COMPUTED_VALUE"""),45446.0)</f>
        <v>45446</v>
      </c>
      <c r="E1393" s="13">
        <f>IFERROR(__xludf.DUMMYFUNCTION("""COMPUTED_VALUE"""),45814.0)</f>
        <v>45814</v>
      </c>
      <c r="F1393" s="13">
        <f>IFERROR(__xludf.DUMMYFUNCTION("""COMPUTED_VALUE"""),45814.0)</f>
        <v>45814</v>
      </c>
      <c r="G1393" s="12"/>
      <c r="H1393" s="12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</row>
    <row r="1394">
      <c r="A1394" s="11" t="str">
        <f>IFERROR(__xludf.DUMMYFUNCTION("""COMPUTED_VALUE"""),"Vanda Pharmaceuticals Inc  Com")</f>
        <v>Vanda Pharmaceuticals Inc  Com</v>
      </c>
      <c r="B1394" s="12" t="str">
        <f>IFERROR(__xludf.DUMMYFUNCTION("""COMPUTED_VALUE"""),"VNDA-US")</f>
        <v>VNDA-US</v>
      </c>
      <c r="C1394" s="12"/>
      <c r="D1394" s="13">
        <f>IFERROR(__xludf.DUMMYFUNCTION("""COMPUTED_VALUE"""),45446.0)</f>
        <v>45446</v>
      </c>
      <c r="E1394" s="13">
        <f>IFERROR(__xludf.DUMMYFUNCTION("""COMPUTED_VALUE"""),45813.0)</f>
        <v>45813</v>
      </c>
      <c r="F1394" s="13">
        <f>IFERROR(__xludf.DUMMYFUNCTION("""COMPUTED_VALUE"""),45813.0)</f>
        <v>45813</v>
      </c>
      <c r="G1394" s="12"/>
      <c r="H1394" s="12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</row>
    <row r="1395">
      <c r="A1395" s="11" t="str">
        <f>IFERROR(__xludf.DUMMYFUNCTION("""COMPUTED_VALUE"""),"Postal Realty Trust Inc  Cl A")</f>
        <v>Postal Realty Trust Inc  Cl A</v>
      </c>
      <c r="B1395" s="12" t="str">
        <f>IFERROR(__xludf.DUMMYFUNCTION("""COMPUTED_VALUE"""),"PSTL-US")</f>
        <v>PSTL-US</v>
      </c>
      <c r="C1395" s="12"/>
      <c r="D1395" s="13">
        <f>IFERROR(__xludf.DUMMYFUNCTION("""COMPUTED_VALUE"""),45446.0)</f>
        <v>45446</v>
      </c>
      <c r="E1395" s="13">
        <f>IFERROR(__xludf.DUMMYFUNCTION("""COMPUTED_VALUE"""),45793.0)</f>
        <v>45793</v>
      </c>
      <c r="F1395" s="13">
        <f>IFERROR(__xludf.DUMMYFUNCTION("""COMPUTED_VALUE"""),45793.0)</f>
        <v>45793</v>
      </c>
      <c r="G1395" s="12"/>
      <c r="H1395" s="12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</row>
    <row r="1396">
      <c r="A1396" s="11" t="str">
        <f>IFERROR(__xludf.DUMMYFUNCTION("""COMPUTED_VALUE"""),"Home Depot Inc  Com")</f>
        <v>Home Depot Inc  Com</v>
      </c>
      <c r="B1396" s="12" t="str">
        <f>IFERROR(__xludf.DUMMYFUNCTION("""COMPUTED_VALUE"""),"HD-US")</f>
        <v>HD-US</v>
      </c>
      <c r="C1396" s="12"/>
      <c r="D1396" s="13">
        <f>IFERROR(__xludf.DUMMYFUNCTION("""COMPUTED_VALUE"""),45446.0)</f>
        <v>45446</v>
      </c>
      <c r="E1396" s="13">
        <f>IFERROR(__xludf.DUMMYFUNCTION("""COMPUTED_VALUE"""),45799.0)</f>
        <v>45799</v>
      </c>
      <c r="F1396" s="13">
        <f>IFERROR(__xludf.DUMMYFUNCTION("""COMPUTED_VALUE"""),45799.0)</f>
        <v>45799</v>
      </c>
      <c r="G1396" s="12"/>
      <c r="H1396" s="12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</row>
    <row r="1397">
      <c r="A1397" s="11" t="str">
        <f>IFERROR(__xludf.DUMMYFUNCTION("""COMPUTED_VALUE"""),"At&amp;T Inc  Com")</f>
        <v>At&amp;T Inc  Com</v>
      </c>
      <c r="B1397" s="12" t="str">
        <f>IFERROR(__xludf.DUMMYFUNCTION("""COMPUTED_VALUE"""),"T-US")</f>
        <v>T-US</v>
      </c>
      <c r="C1397" s="12"/>
      <c r="D1397" s="13">
        <f>IFERROR(__xludf.DUMMYFUNCTION("""COMPUTED_VALUE"""),45446.0)</f>
        <v>45446</v>
      </c>
      <c r="E1397" s="13">
        <f>IFERROR(__xludf.DUMMYFUNCTION("""COMPUTED_VALUE"""),45792.0)</f>
        <v>45792</v>
      </c>
      <c r="F1397" s="13">
        <f>IFERROR(__xludf.DUMMYFUNCTION("""COMPUTED_VALUE"""),45792.0)</f>
        <v>45792</v>
      </c>
      <c r="G1397" s="12"/>
      <c r="H1397" s="12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</row>
    <row r="1398">
      <c r="A1398" s="11" t="str">
        <f>IFERROR(__xludf.DUMMYFUNCTION("""COMPUTED_VALUE"""),"Chubb Ltd  Com")</f>
        <v>Chubb Ltd  Com</v>
      </c>
      <c r="B1398" s="12" t="str">
        <f>IFERROR(__xludf.DUMMYFUNCTION("""COMPUTED_VALUE"""),"CB-US")</f>
        <v>CB-US</v>
      </c>
      <c r="C1398" s="12"/>
      <c r="D1398" s="13">
        <f>IFERROR(__xludf.DUMMYFUNCTION("""COMPUTED_VALUE"""),45446.0)</f>
        <v>45446</v>
      </c>
      <c r="E1398" s="13">
        <f>IFERROR(__xludf.DUMMYFUNCTION("""COMPUTED_VALUE"""),45792.0)</f>
        <v>45792</v>
      </c>
      <c r="F1398" s="13">
        <f>IFERROR(__xludf.DUMMYFUNCTION("""COMPUTED_VALUE"""),45792.0)</f>
        <v>45792</v>
      </c>
      <c r="G1398" s="12"/>
      <c r="H1398" s="12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</row>
    <row r="1399">
      <c r="A1399" s="11" t="str">
        <f>IFERROR(__xludf.DUMMYFUNCTION("""COMPUTED_VALUE"""),"Marsh &amp; Mclennan Cos Inc  Com")</f>
        <v>Marsh &amp; Mclennan Cos Inc  Com</v>
      </c>
      <c r="B1399" s="12" t="str">
        <f>IFERROR(__xludf.DUMMYFUNCTION("""COMPUTED_VALUE"""),"MMC-US")</f>
        <v>MMC-US</v>
      </c>
      <c r="C1399" s="12"/>
      <c r="D1399" s="13">
        <f>IFERROR(__xludf.DUMMYFUNCTION("""COMPUTED_VALUE"""),45446.0)</f>
        <v>45446</v>
      </c>
      <c r="E1399" s="13">
        <f>IFERROR(__xludf.DUMMYFUNCTION("""COMPUTED_VALUE"""),45792.0)</f>
        <v>45792</v>
      </c>
      <c r="F1399" s="13">
        <f>IFERROR(__xludf.DUMMYFUNCTION("""COMPUTED_VALUE"""),45792.0)</f>
        <v>45792</v>
      </c>
      <c r="G1399" s="12"/>
      <c r="H1399" s="12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</row>
    <row r="1400">
      <c r="A1400" s="11" t="str">
        <f>IFERROR(__xludf.DUMMYFUNCTION("""COMPUTED_VALUE"""),"Altria Group Inc  Com")</f>
        <v>Altria Group Inc  Com</v>
      </c>
      <c r="B1400" s="12" t="str">
        <f>IFERROR(__xludf.DUMMYFUNCTION("""COMPUTED_VALUE"""),"MO-US")</f>
        <v>MO-US</v>
      </c>
      <c r="C1400" s="12"/>
      <c r="D1400" s="13">
        <f>IFERROR(__xludf.DUMMYFUNCTION("""COMPUTED_VALUE"""),45446.0)</f>
        <v>45446</v>
      </c>
      <c r="E1400" s="13">
        <f>IFERROR(__xludf.DUMMYFUNCTION("""COMPUTED_VALUE"""),45792.0)</f>
        <v>45792</v>
      </c>
      <c r="F1400" s="13">
        <f>IFERROR(__xludf.DUMMYFUNCTION("""COMPUTED_VALUE"""),45792.0)</f>
        <v>45792</v>
      </c>
      <c r="G1400" s="12"/>
      <c r="H1400" s="12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</row>
    <row r="1401">
      <c r="A1401" s="11" t="str">
        <f>IFERROR(__xludf.DUMMYFUNCTION("""COMPUTED_VALUE"""),"Amphenol Corp  Cl A")</f>
        <v>Amphenol Corp  Cl A</v>
      </c>
      <c r="B1401" s="12" t="str">
        <f>IFERROR(__xludf.DUMMYFUNCTION("""COMPUTED_VALUE"""),"APH-US")</f>
        <v>APH-US</v>
      </c>
      <c r="C1401" s="12"/>
      <c r="D1401" s="13">
        <f>IFERROR(__xludf.DUMMYFUNCTION("""COMPUTED_VALUE"""),45446.0)</f>
        <v>45446</v>
      </c>
      <c r="E1401" s="13">
        <f>IFERROR(__xludf.DUMMYFUNCTION("""COMPUTED_VALUE"""),45792.0)</f>
        <v>45792</v>
      </c>
      <c r="F1401" s="13">
        <f>IFERROR(__xludf.DUMMYFUNCTION("""COMPUTED_VALUE"""),45792.0)</f>
        <v>45792</v>
      </c>
      <c r="G1401" s="12"/>
      <c r="H1401" s="12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</row>
    <row r="1402">
      <c r="A1402" s="11" t="str">
        <f>IFERROR(__xludf.DUMMYFUNCTION("""COMPUTED_VALUE"""),"Oreilly Automotive Inc  Com")</f>
        <v>Oreilly Automotive Inc  Com</v>
      </c>
      <c r="B1402" s="12" t="str">
        <f>IFERROR(__xludf.DUMMYFUNCTION("""COMPUTED_VALUE"""),"ORLY-US")</f>
        <v>ORLY-US</v>
      </c>
      <c r="C1402" s="12"/>
      <c r="D1402" s="13">
        <f>IFERROR(__xludf.DUMMYFUNCTION("""COMPUTED_VALUE"""),45446.0)</f>
        <v>45446</v>
      </c>
      <c r="E1402" s="13">
        <f>IFERROR(__xludf.DUMMYFUNCTION("""COMPUTED_VALUE"""),45792.0)</f>
        <v>45792</v>
      </c>
      <c r="F1402" s="13">
        <f>IFERROR(__xludf.DUMMYFUNCTION("""COMPUTED_VALUE"""),45792.0)</f>
        <v>45792</v>
      </c>
      <c r="G1402" s="12"/>
      <c r="H1402" s="12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</row>
    <row r="1403">
      <c r="A1403" s="11" t="str">
        <f>IFERROR(__xludf.DUMMYFUNCTION("""COMPUTED_VALUE"""),"Cvs Health Corp  Com")</f>
        <v>Cvs Health Corp  Com</v>
      </c>
      <c r="B1403" s="12" t="str">
        <f>IFERROR(__xludf.DUMMYFUNCTION("""COMPUTED_VALUE"""),"CVS-US")</f>
        <v>CVS-US</v>
      </c>
      <c r="C1403" s="12"/>
      <c r="D1403" s="13">
        <f>IFERROR(__xludf.DUMMYFUNCTION("""COMPUTED_VALUE"""),45446.0)</f>
        <v>45446</v>
      </c>
      <c r="E1403" s="13">
        <f>IFERROR(__xludf.DUMMYFUNCTION("""COMPUTED_VALUE"""),45792.0)</f>
        <v>45792</v>
      </c>
      <c r="F1403" s="13">
        <f>IFERROR(__xludf.DUMMYFUNCTION("""COMPUTED_VALUE"""),45792.0)</f>
        <v>45792</v>
      </c>
      <c r="G1403" s="12"/>
      <c r="H1403" s="12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</row>
    <row r="1404">
      <c r="A1404" s="11" t="str">
        <f>IFERROR(__xludf.DUMMYFUNCTION("""COMPUTED_VALUE"""),"Targa Resources Corp  Com")</f>
        <v>Targa Resources Corp  Com</v>
      </c>
      <c r="B1404" s="12" t="str">
        <f>IFERROR(__xludf.DUMMYFUNCTION("""COMPUTED_VALUE"""),"TRGP-US")</f>
        <v>TRGP-US</v>
      </c>
      <c r="C1404" s="12"/>
      <c r="D1404" s="13">
        <f>IFERROR(__xludf.DUMMYFUNCTION("""COMPUTED_VALUE"""),45446.0)</f>
        <v>45446</v>
      </c>
      <c r="E1404" s="13">
        <f>IFERROR(__xludf.DUMMYFUNCTION("""COMPUTED_VALUE"""),45797.0)</f>
        <v>45797</v>
      </c>
      <c r="F1404" s="13">
        <f>IFERROR(__xludf.DUMMYFUNCTION("""COMPUTED_VALUE"""),45797.0)</f>
        <v>45797</v>
      </c>
      <c r="G1404" s="12"/>
      <c r="H1404" s="12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</row>
    <row r="1405">
      <c r="A1405" s="11" t="str">
        <f>IFERROR(__xludf.DUMMYFUNCTION("""COMPUTED_VALUE"""),"Otis Worldwide Corp  Com")</f>
        <v>Otis Worldwide Corp  Com</v>
      </c>
      <c r="B1405" s="12" t="str">
        <f>IFERROR(__xludf.DUMMYFUNCTION("""COMPUTED_VALUE"""),"OTIS-US")</f>
        <v>OTIS-US</v>
      </c>
      <c r="C1405" s="12"/>
      <c r="D1405" s="13">
        <f>IFERROR(__xludf.DUMMYFUNCTION("""COMPUTED_VALUE"""),45446.0)</f>
        <v>45446</v>
      </c>
      <c r="E1405" s="13">
        <f>IFERROR(__xludf.DUMMYFUNCTION("""COMPUTED_VALUE"""),45792.0)</f>
        <v>45792</v>
      </c>
      <c r="F1405" s="13">
        <f>IFERROR(__xludf.DUMMYFUNCTION("""COMPUTED_VALUE"""),45792.0)</f>
        <v>45792</v>
      </c>
      <c r="G1405" s="12"/>
      <c r="H1405" s="12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</row>
    <row r="1406">
      <c r="A1406" s="11" t="str">
        <f>IFERROR(__xludf.DUMMYFUNCTION("""COMPUTED_VALUE"""),"Yum Brands Inc  Com")</f>
        <v>Yum Brands Inc  Com</v>
      </c>
      <c r="B1406" s="12" t="str">
        <f>IFERROR(__xludf.DUMMYFUNCTION("""COMPUTED_VALUE"""),"YUM-US")</f>
        <v>YUM-US</v>
      </c>
      <c r="C1406" s="12"/>
      <c r="D1406" s="13">
        <f>IFERROR(__xludf.DUMMYFUNCTION("""COMPUTED_VALUE"""),45447.0)</f>
        <v>45447</v>
      </c>
      <c r="E1406" s="13">
        <f>IFERROR(__xludf.DUMMYFUNCTION("""COMPUTED_VALUE"""),45792.0)</f>
        <v>45792</v>
      </c>
      <c r="F1406" s="13">
        <f>IFERROR(__xludf.DUMMYFUNCTION("""COMPUTED_VALUE"""),45792.0)</f>
        <v>45792</v>
      </c>
      <c r="G1406" s="12"/>
      <c r="H1406" s="12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</row>
    <row r="1407">
      <c r="A1407" s="11" t="str">
        <f>IFERROR(__xludf.DUMMYFUNCTION("""COMPUTED_VALUE"""),"Wabtec Corp  Com")</f>
        <v>Wabtec Corp  Com</v>
      </c>
      <c r="B1407" s="12" t="str">
        <f>IFERROR(__xludf.DUMMYFUNCTION("""COMPUTED_VALUE"""),"WAB-US")</f>
        <v>WAB-US</v>
      </c>
      <c r="C1407" s="12"/>
      <c r="D1407" s="13">
        <f>IFERROR(__xludf.DUMMYFUNCTION("""COMPUTED_VALUE"""),45447.0)</f>
        <v>45447</v>
      </c>
      <c r="E1407" s="13">
        <f>IFERROR(__xludf.DUMMYFUNCTION("""COMPUTED_VALUE"""),45792.0)</f>
        <v>45792</v>
      </c>
      <c r="F1407" s="13">
        <f>IFERROR(__xludf.DUMMYFUNCTION("""COMPUTED_VALUE"""),45792.0)</f>
        <v>45792</v>
      </c>
      <c r="G1407" s="12"/>
      <c r="H1407" s="12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</row>
    <row r="1408">
      <c r="A1408" s="11" t="str">
        <f>IFERROR(__xludf.DUMMYFUNCTION("""COMPUTED_VALUE"""),"Martin Marietta Materials Inc  Com")</f>
        <v>Martin Marietta Materials Inc  Com</v>
      </c>
      <c r="B1408" s="12" t="str">
        <f>IFERROR(__xludf.DUMMYFUNCTION("""COMPUTED_VALUE"""),"MLM-US")</f>
        <v>MLM-US</v>
      </c>
      <c r="C1408" s="12"/>
      <c r="D1408" s="13">
        <f>IFERROR(__xludf.DUMMYFUNCTION("""COMPUTED_VALUE"""),45447.0)</f>
        <v>45447</v>
      </c>
      <c r="E1408" s="13">
        <f>IFERROR(__xludf.DUMMYFUNCTION("""COMPUTED_VALUE"""),45792.0)</f>
        <v>45792</v>
      </c>
      <c r="F1408" s="13">
        <f>IFERROR(__xludf.DUMMYFUNCTION("""COMPUTED_VALUE"""),45792.0)</f>
        <v>45792</v>
      </c>
      <c r="G1408" s="12"/>
      <c r="H1408" s="12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</row>
    <row r="1409">
      <c r="A1409" s="11" t="str">
        <f>IFERROR(__xludf.DUMMYFUNCTION("""COMPUTED_VALUE"""),"Avalonbay Communities Inc  Com")</f>
        <v>Avalonbay Communities Inc  Com</v>
      </c>
      <c r="B1409" s="12" t="str">
        <f>IFERROR(__xludf.DUMMYFUNCTION("""COMPUTED_VALUE"""),"AVB-US")</f>
        <v>AVB-US</v>
      </c>
      <c r="C1409" s="12"/>
      <c r="D1409" s="13">
        <f>IFERROR(__xludf.DUMMYFUNCTION("""COMPUTED_VALUE"""),45447.0)</f>
        <v>45447</v>
      </c>
      <c r="E1409" s="13">
        <f>IFERROR(__xludf.DUMMYFUNCTION("""COMPUTED_VALUE"""),45798.0)</f>
        <v>45798</v>
      </c>
      <c r="F1409" s="13">
        <f>IFERROR(__xludf.DUMMYFUNCTION("""COMPUTED_VALUE"""),45798.0)</f>
        <v>45798</v>
      </c>
      <c r="G1409" s="12"/>
      <c r="H1409" s="12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</row>
    <row r="1410">
      <c r="A1410" s="11" t="str">
        <f>IFERROR(__xludf.DUMMYFUNCTION("""COMPUTED_VALUE"""),"Xylem Inc  Com")</f>
        <v>Xylem Inc  Com</v>
      </c>
      <c r="B1410" s="12" t="str">
        <f>IFERROR(__xludf.DUMMYFUNCTION("""COMPUTED_VALUE"""),"XYL-US")</f>
        <v>XYL-US</v>
      </c>
      <c r="C1410" s="12"/>
      <c r="D1410" s="13">
        <f>IFERROR(__xludf.DUMMYFUNCTION("""COMPUTED_VALUE"""),45447.0)</f>
        <v>45447</v>
      </c>
      <c r="E1410" s="13">
        <f>IFERROR(__xludf.DUMMYFUNCTION("""COMPUTED_VALUE"""),45790.0)</f>
        <v>45790</v>
      </c>
      <c r="F1410" s="13">
        <f>IFERROR(__xludf.DUMMYFUNCTION("""COMPUTED_VALUE"""),45790.0)</f>
        <v>45790</v>
      </c>
      <c r="G1410" s="12"/>
      <c r="H1410" s="12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</row>
    <row r="1411">
      <c r="A1411" s="11" t="str">
        <f>IFERROR(__xludf.DUMMYFUNCTION("""COMPUTED_VALUE"""),"On Semiconductor Corp  Com")</f>
        <v>On Semiconductor Corp  Com</v>
      </c>
      <c r="B1411" s="12" t="str">
        <f>IFERROR(__xludf.DUMMYFUNCTION("""COMPUTED_VALUE"""),"ON-US")</f>
        <v>ON-US</v>
      </c>
      <c r="C1411" s="12"/>
      <c r="D1411" s="13">
        <f>IFERROR(__xludf.DUMMYFUNCTION("""COMPUTED_VALUE"""),45447.0)</f>
        <v>45447</v>
      </c>
      <c r="E1411" s="13">
        <f>IFERROR(__xludf.DUMMYFUNCTION("""COMPUTED_VALUE"""),45792.0)</f>
        <v>45792</v>
      </c>
      <c r="F1411" s="13">
        <f>IFERROR(__xludf.DUMMYFUNCTION("""COMPUTED_VALUE"""),45792.0)</f>
        <v>45792</v>
      </c>
      <c r="G1411" s="12"/>
      <c r="H1411" s="12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</row>
    <row r="1412">
      <c r="A1412" s="11" t="str">
        <f>IFERROR(__xludf.DUMMYFUNCTION("""COMPUTED_VALUE"""),"Illumina Inc  Com")</f>
        <v>Illumina Inc  Com</v>
      </c>
      <c r="B1412" s="12" t="str">
        <f>IFERROR(__xludf.DUMMYFUNCTION("""COMPUTED_VALUE"""),"ILMN-US")</f>
        <v>ILMN-US</v>
      </c>
      <c r="C1412" s="12"/>
      <c r="D1412" s="13">
        <f>IFERROR(__xludf.DUMMYFUNCTION("""COMPUTED_VALUE"""),45447.0)</f>
        <v>45447</v>
      </c>
      <c r="E1412" s="13">
        <f>IFERROR(__xludf.DUMMYFUNCTION("""COMPUTED_VALUE"""),45798.0)</f>
        <v>45798</v>
      </c>
      <c r="F1412" s="13">
        <f>IFERROR(__xludf.DUMMYFUNCTION("""COMPUTED_VALUE"""),45798.0)</f>
        <v>45798</v>
      </c>
      <c r="G1412" s="12"/>
      <c r="H1412" s="12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</row>
    <row r="1413">
      <c r="A1413" s="11" t="str">
        <f>IFERROR(__xludf.DUMMYFUNCTION("""COMPUTED_VALUE"""),"Cboe Global Markets Inc  Com")</f>
        <v>Cboe Global Markets Inc  Com</v>
      </c>
      <c r="B1413" s="12" t="str">
        <f>IFERROR(__xludf.DUMMYFUNCTION("""COMPUTED_VALUE"""),"CBOE-US")</f>
        <v>CBOE-US</v>
      </c>
      <c r="C1413" s="12"/>
      <c r="D1413" s="13">
        <f>IFERROR(__xludf.DUMMYFUNCTION("""COMPUTED_VALUE"""),45447.0)</f>
        <v>45447</v>
      </c>
      <c r="E1413" s="13">
        <f>IFERROR(__xludf.DUMMYFUNCTION("""COMPUTED_VALUE"""),45783.0)</f>
        <v>45783</v>
      </c>
      <c r="F1413" s="13">
        <f>IFERROR(__xludf.DUMMYFUNCTION("""COMPUTED_VALUE"""),45783.0)</f>
        <v>45783</v>
      </c>
      <c r="G1413" s="12"/>
      <c r="H1413" s="12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</row>
    <row r="1414">
      <c r="A1414" s="11" t="str">
        <f>IFERROR(__xludf.DUMMYFUNCTION("""COMPUTED_VALUE"""),"Lennox International Inc  Com")</f>
        <v>Lennox International Inc  Com</v>
      </c>
      <c r="B1414" s="12" t="str">
        <f>IFERROR(__xludf.DUMMYFUNCTION("""COMPUTED_VALUE"""),"LII-US")</f>
        <v>LII-US</v>
      </c>
      <c r="C1414" s="12"/>
      <c r="D1414" s="13">
        <f>IFERROR(__xludf.DUMMYFUNCTION("""COMPUTED_VALUE"""),45447.0)</f>
        <v>45447</v>
      </c>
      <c r="E1414" s="13">
        <f>IFERROR(__xludf.DUMMYFUNCTION("""COMPUTED_VALUE"""),45799.0)</f>
        <v>45799</v>
      </c>
      <c r="F1414" s="13">
        <f>IFERROR(__xludf.DUMMYFUNCTION("""COMPUTED_VALUE"""),45799.0)</f>
        <v>45799</v>
      </c>
      <c r="G1414" s="12"/>
      <c r="H1414" s="12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</row>
    <row r="1415">
      <c r="A1415" s="11" t="str">
        <f>IFERROR(__xludf.DUMMYFUNCTION("""COMPUTED_VALUE"""),"Xpo Inc  Com")</f>
        <v>Xpo Inc  Com</v>
      </c>
      <c r="B1415" s="12" t="str">
        <f>IFERROR(__xludf.DUMMYFUNCTION("""COMPUTED_VALUE"""),"XPO-US")</f>
        <v>XPO-US</v>
      </c>
      <c r="C1415" s="12"/>
      <c r="D1415" s="13">
        <f>IFERROR(__xludf.DUMMYFUNCTION("""COMPUTED_VALUE"""),45447.0)</f>
        <v>45447</v>
      </c>
      <c r="E1415" s="13">
        <f>IFERROR(__xludf.DUMMYFUNCTION("""COMPUTED_VALUE"""),45792.0)</f>
        <v>45792</v>
      </c>
      <c r="F1415" s="13">
        <f>IFERROR(__xludf.DUMMYFUNCTION("""COMPUTED_VALUE"""),45792.0)</f>
        <v>45792</v>
      </c>
      <c r="G1415" s="12"/>
      <c r="H1415" s="12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</row>
    <row r="1416">
      <c r="A1416" s="11" t="str">
        <f>IFERROR(__xludf.DUMMYFUNCTION("""COMPUTED_VALUE"""),"Texas Roadhouse Inc  Cl A")</f>
        <v>Texas Roadhouse Inc  Cl A</v>
      </c>
      <c r="B1416" s="12" t="str">
        <f>IFERROR(__xludf.DUMMYFUNCTION("""COMPUTED_VALUE"""),"TXRH-US")</f>
        <v>TXRH-US</v>
      </c>
      <c r="C1416" s="12"/>
      <c r="D1416" s="13">
        <f>IFERROR(__xludf.DUMMYFUNCTION("""COMPUTED_VALUE"""),45447.0)</f>
        <v>45447</v>
      </c>
      <c r="E1416" s="13">
        <f>IFERROR(__xludf.DUMMYFUNCTION("""COMPUTED_VALUE"""),45792.0)</f>
        <v>45792</v>
      </c>
      <c r="F1416" s="13">
        <f>IFERROR(__xludf.DUMMYFUNCTION("""COMPUTED_VALUE"""),45792.0)</f>
        <v>45792</v>
      </c>
      <c r="G1416" s="12"/>
      <c r="H1416" s="12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</row>
    <row r="1417">
      <c r="A1417" s="11" t="str">
        <f>IFERROR(__xludf.DUMMYFUNCTION("""COMPUTED_VALUE"""),"Lamar Advertising Co  Cl A")</f>
        <v>Lamar Advertising Co  Cl A</v>
      </c>
      <c r="B1417" s="12" t="str">
        <f>IFERROR(__xludf.DUMMYFUNCTION("""COMPUTED_VALUE"""),"LAMR-US")</f>
        <v>LAMR-US</v>
      </c>
      <c r="C1417" s="12"/>
      <c r="D1417" s="13">
        <f>IFERROR(__xludf.DUMMYFUNCTION("""COMPUTED_VALUE"""),45447.0)</f>
        <v>45447</v>
      </c>
      <c r="E1417" s="13">
        <f>IFERROR(__xludf.DUMMYFUNCTION("""COMPUTED_VALUE"""),45792.0)</f>
        <v>45792</v>
      </c>
      <c r="F1417" s="13">
        <f>IFERROR(__xludf.DUMMYFUNCTION("""COMPUTED_VALUE"""),45792.0)</f>
        <v>45792</v>
      </c>
      <c r="G1417" s="12"/>
      <c r="H1417" s="12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</row>
    <row r="1418">
      <c r="A1418" s="11" t="str">
        <f>IFERROR(__xludf.DUMMYFUNCTION("""COMPUTED_VALUE"""),"Repligen Corp  Com")</f>
        <v>Repligen Corp  Com</v>
      </c>
      <c r="B1418" s="12" t="str">
        <f>IFERROR(__xludf.DUMMYFUNCTION("""COMPUTED_VALUE"""),"RGEN-US")</f>
        <v>RGEN-US</v>
      </c>
      <c r="C1418" s="12"/>
      <c r="D1418" s="13">
        <f>IFERROR(__xludf.DUMMYFUNCTION("""COMPUTED_VALUE"""),45447.0)</f>
        <v>45447</v>
      </c>
      <c r="E1418" s="13">
        <f>IFERROR(__xludf.DUMMYFUNCTION("""COMPUTED_VALUE"""),45792.0)</f>
        <v>45792</v>
      </c>
      <c r="F1418" s="13">
        <f>IFERROR(__xludf.DUMMYFUNCTION("""COMPUTED_VALUE"""),45792.0)</f>
        <v>45792</v>
      </c>
      <c r="G1418" s="12"/>
      <c r="H1418" s="12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</row>
    <row r="1419">
      <c r="A1419" s="11" t="str">
        <f>IFERROR(__xludf.DUMMYFUNCTION("""COMPUTED_VALUE"""),"Oge Energy Corp  Com")</f>
        <v>Oge Energy Corp  Com</v>
      </c>
      <c r="B1419" s="12" t="str">
        <f>IFERROR(__xludf.DUMMYFUNCTION("""COMPUTED_VALUE"""),"OGE-US")</f>
        <v>OGE-US</v>
      </c>
      <c r="C1419" s="12"/>
      <c r="D1419" s="13">
        <f>IFERROR(__xludf.DUMMYFUNCTION("""COMPUTED_VALUE"""),45447.0)</f>
        <v>45447</v>
      </c>
      <c r="E1419" s="13">
        <f>IFERROR(__xludf.DUMMYFUNCTION("""COMPUTED_VALUE"""),45792.0)</f>
        <v>45792</v>
      </c>
      <c r="F1419" s="13">
        <f>IFERROR(__xludf.DUMMYFUNCTION("""COMPUTED_VALUE"""),45792.0)</f>
        <v>45792</v>
      </c>
      <c r="G1419" s="12"/>
      <c r="H1419" s="12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</row>
    <row r="1420">
      <c r="A1420" s="11" t="str">
        <f>IFERROR(__xludf.DUMMYFUNCTION("""COMPUTED_VALUE"""),"Hasbro Inc  Com")</f>
        <v>Hasbro Inc  Com</v>
      </c>
      <c r="B1420" s="12" t="str">
        <f>IFERROR(__xludf.DUMMYFUNCTION("""COMPUTED_VALUE"""),"HAS-US")</f>
        <v>HAS-US</v>
      </c>
      <c r="C1420" s="12"/>
      <c r="D1420" s="13">
        <f>IFERROR(__xludf.DUMMYFUNCTION("""COMPUTED_VALUE"""),45447.0)</f>
        <v>45447</v>
      </c>
      <c r="E1420" s="13">
        <f>IFERROR(__xludf.DUMMYFUNCTION("""COMPUTED_VALUE"""),45798.0)</f>
        <v>45798</v>
      </c>
      <c r="F1420" s="13">
        <f>IFERROR(__xludf.DUMMYFUNCTION("""COMPUTED_VALUE"""),45798.0)</f>
        <v>45798</v>
      </c>
      <c r="G1420" s="12"/>
      <c r="H1420" s="12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</row>
    <row r="1421">
      <c r="A1421" s="11" t="str">
        <f>IFERROR(__xludf.DUMMYFUNCTION("""COMPUTED_VALUE"""),"Flowserve Corp  Com")</f>
        <v>Flowserve Corp  Com</v>
      </c>
      <c r="B1421" s="12" t="str">
        <f>IFERROR(__xludf.DUMMYFUNCTION("""COMPUTED_VALUE"""),"FLS-US")</f>
        <v>FLS-US</v>
      </c>
      <c r="C1421" s="12"/>
      <c r="D1421" s="13">
        <f>IFERROR(__xludf.DUMMYFUNCTION("""COMPUTED_VALUE"""),45447.0)</f>
        <v>45447</v>
      </c>
      <c r="E1421" s="13">
        <f>IFERROR(__xludf.DUMMYFUNCTION("""COMPUTED_VALUE"""),45793.0)</f>
        <v>45793</v>
      </c>
      <c r="F1421" s="13">
        <f>IFERROR(__xludf.DUMMYFUNCTION("""COMPUTED_VALUE"""),45793.0)</f>
        <v>45793</v>
      </c>
      <c r="G1421" s="12"/>
      <c r="H1421" s="12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</row>
    <row r="1422">
      <c r="A1422" s="11" t="str">
        <f>IFERROR(__xludf.DUMMYFUNCTION("""COMPUTED_VALUE"""),"Ensign Group Inc  Com")</f>
        <v>Ensign Group Inc  Com</v>
      </c>
      <c r="B1422" s="12" t="str">
        <f>IFERROR(__xludf.DUMMYFUNCTION("""COMPUTED_VALUE"""),"ENSG-US")</f>
        <v>ENSG-US</v>
      </c>
      <c r="C1422" s="12"/>
      <c r="D1422" s="13">
        <f>IFERROR(__xludf.DUMMYFUNCTION("""COMPUTED_VALUE"""),45447.0)</f>
        <v>45447</v>
      </c>
      <c r="E1422" s="13">
        <f>IFERROR(__xludf.DUMMYFUNCTION("""COMPUTED_VALUE"""),45792.0)</f>
        <v>45792</v>
      </c>
      <c r="F1422" s="13">
        <f>IFERROR(__xludf.DUMMYFUNCTION("""COMPUTED_VALUE"""),45792.0)</f>
        <v>45792</v>
      </c>
      <c r="G1422" s="12"/>
      <c r="H1422" s="12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</row>
    <row r="1423">
      <c r="A1423" s="11" t="str">
        <f>IFERROR(__xludf.DUMMYFUNCTION("""COMPUTED_VALUE"""),"Dropbox Inc  Cl A")</f>
        <v>Dropbox Inc  Cl A</v>
      </c>
      <c r="B1423" s="12" t="str">
        <f>IFERROR(__xludf.DUMMYFUNCTION("""COMPUTED_VALUE"""),"DBX-US")</f>
        <v>DBX-US</v>
      </c>
      <c r="C1423" s="12"/>
      <c r="D1423" s="13">
        <f>IFERROR(__xludf.DUMMYFUNCTION("""COMPUTED_VALUE"""),45447.0)</f>
        <v>45447</v>
      </c>
      <c r="E1423" s="13">
        <f>IFERROR(__xludf.DUMMYFUNCTION("""COMPUTED_VALUE"""),45792.0)</f>
        <v>45792</v>
      </c>
      <c r="F1423" s="13">
        <f>IFERROR(__xludf.DUMMYFUNCTION("""COMPUTED_VALUE"""),45792.0)</f>
        <v>45792</v>
      </c>
      <c r="G1423" s="12"/>
      <c r="H1423" s="12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</row>
    <row r="1424">
      <c r="A1424" s="11" t="str">
        <f>IFERROR(__xludf.DUMMYFUNCTION("""COMPUTED_VALUE"""),"Axis Capital Holdings Ltd  Com")</f>
        <v>Axis Capital Holdings Ltd  Com</v>
      </c>
      <c r="B1424" s="12" t="str">
        <f>IFERROR(__xludf.DUMMYFUNCTION("""COMPUTED_VALUE"""),"AXS-US")</f>
        <v>AXS-US</v>
      </c>
      <c r="C1424" s="12"/>
      <c r="D1424" s="13">
        <f>IFERROR(__xludf.DUMMYFUNCTION("""COMPUTED_VALUE"""),45447.0)</f>
        <v>45447</v>
      </c>
      <c r="E1424" s="13">
        <f>IFERROR(__xludf.DUMMYFUNCTION("""COMPUTED_VALUE"""),45793.0)</f>
        <v>45793</v>
      </c>
      <c r="F1424" s="13">
        <f>IFERROR(__xludf.DUMMYFUNCTION("""COMPUTED_VALUE"""),45793.0)</f>
        <v>45793</v>
      </c>
      <c r="G1424" s="12"/>
      <c r="H1424" s="12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</row>
    <row r="1425">
      <c r="A1425" s="11" t="str">
        <f>IFERROR(__xludf.DUMMYFUNCTION("""COMPUTED_VALUE"""),"Sps Commerce Inc  Com")</f>
        <v>Sps Commerce Inc  Com</v>
      </c>
      <c r="B1425" s="12" t="str">
        <f>IFERROR(__xludf.DUMMYFUNCTION("""COMPUTED_VALUE"""),"SPSC-US")</f>
        <v>SPSC-US</v>
      </c>
      <c r="C1425" s="12"/>
      <c r="D1425" s="13">
        <f>IFERROR(__xludf.DUMMYFUNCTION("""COMPUTED_VALUE"""),45447.0)</f>
        <v>45447</v>
      </c>
      <c r="E1425" s="13">
        <f>IFERROR(__xludf.DUMMYFUNCTION("""COMPUTED_VALUE"""),45790.0)</f>
        <v>45790</v>
      </c>
      <c r="F1425" s="13">
        <f>IFERROR(__xludf.DUMMYFUNCTION("""COMPUTED_VALUE"""),45790.0)</f>
        <v>45790</v>
      </c>
      <c r="G1425" s="12"/>
      <c r="H1425" s="12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</row>
    <row r="1426">
      <c r="A1426" s="11" t="str">
        <f>IFERROR(__xludf.DUMMYFUNCTION("""COMPUTED_VALUE"""),"Gentex Corp  Com")</f>
        <v>Gentex Corp  Com</v>
      </c>
      <c r="B1426" s="12" t="str">
        <f>IFERROR(__xludf.DUMMYFUNCTION("""COMPUTED_VALUE"""),"GNTX-US")</f>
        <v>GNTX-US</v>
      </c>
      <c r="C1426" s="12"/>
      <c r="D1426" s="13">
        <f>IFERROR(__xludf.DUMMYFUNCTION("""COMPUTED_VALUE"""),45447.0)</f>
        <v>45447</v>
      </c>
      <c r="E1426" s="13">
        <f>IFERROR(__xludf.DUMMYFUNCTION("""COMPUTED_VALUE"""),45792.0)</f>
        <v>45792</v>
      </c>
      <c r="F1426" s="13">
        <f>IFERROR(__xludf.DUMMYFUNCTION("""COMPUTED_VALUE"""),45792.0)</f>
        <v>45792</v>
      </c>
      <c r="G1426" s="12"/>
      <c r="H1426" s="12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</row>
    <row r="1427">
      <c r="A1427" s="11" t="str">
        <f>IFERROR(__xludf.DUMMYFUNCTION("""COMPUTED_VALUE"""),"Idacorp Inc  Com")</f>
        <v>Idacorp Inc  Com</v>
      </c>
      <c r="B1427" s="12" t="str">
        <f>IFERROR(__xludf.DUMMYFUNCTION("""COMPUTED_VALUE"""),"IDA-US")</f>
        <v>IDA-US</v>
      </c>
      <c r="C1427" s="12"/>
      <c r="D1427" s="13">
        <f>IFERROR(__xludf.DUMMYFUNCTION("""COMPUTED_VALUE"""),45447.0)</f>
        <v>45447</v>
      </c>
      <c r="E1427" s="13">
        <f>IFERROR(__xludf.DUMMYFUNCTION("""COMPUTED_VALUE"""),45792.0)</f>
        <v>45792</v>
      </c>
      <c r="F1427" s="13">
        <f>IFERROR(__xludf.DUMMYFUNCTION("""COMPUTED_VALUE"""),45792.0)</f>
        <v>45792</v>
      </c>
      <c r="G1427" s="12"/>
      <c r="H1427" s="12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</row>
    <row r="1428">
      <c r="A1428" s="11" t="str">
        <f>IFERROR(__xludf.DUMMYFUNCTION("""COMPUTED_VALUE"""),"Lear Corp  Com")</f>
        <v>Lear Corp  Com</v>
      </c>
      <c r="B1428" s="12" t="str">
        <f>IFERROR(__xludf.DUMMYFUNCTION("""COMPUTED_VALUE"""),"LEA-US")</f>
        <v>LEA-US</v>
      </c>
      <c r="C1428" s="12"/>
      <c r="D1428" s="13">
        <f>IFERROR(__xludf.DUMMYFUNCTION("""COMPUTED_VALUE"""),45447.0)</f>
        <v>45447</v>
      </c>
      <c r="E1428" s="13">
        <f>IFERROR(__xludf.DUMMYFUNCTION("""COMPUTED_VALUE"""),45793.0)</f>
        <v>45793</v>
      </c>
      <c r="F1428" s="13">
        <f>IFERROR(__xludf.DUMMYFUNCTION("""COMPUTED_VALUE"""),45793.0)</f>
        <v>45793</v>
      </c>
      <c r="G1428" s="12"/>
      <c r="H1428" s="12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</row>
    <row r="1429">
      <c r="A1429" s="11" t="str">
        <f>IFERROR(__xludf.DUMMYFUNCTION("""COMPUTED_VALUE"""),"Meritage Homes Corp  Com")</f>
        <v>Meritage Homes Corp  Com</v>
      </c>
      <c r="B1429" s="12" t="str">
        <f>IFERROR(__xludf.DUMMYFUNCTION("""COMPUTED_VALUE"""),"MTH-US")</f>
        <v>MTH-US</v>
      </c>
      <c r="C1429" s="12"/>
      <c r="D1429" s="13">
        <f>IFERROR(__xludf.DUMMYFUNCTION("""COMPUTED_VALUE"""),45447.0)</f>
        <v>45447</v>
      </c>
      <c r="E1429" s="13">
        <f>IFERROR(__xludf.DUMMYFUNCTION("""COMPUTED_VALUE"""),45799.0)</f>
        <v>45799</v>
      </c>
      <c r="F1429" s="13">
        <f>IFERROR(__xludf.DUMMYFUNCTION("""COMPUTED_VALUE"""),45799.0)</f>
        <v>45799</v>
      </c>
      <c r="G1429" s="12"/>
      <c r="H1429" s="12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</row>
    <row r="1430">
      <c r="A1430" s="11" t="str">
        <f>IFERROR(__xludf.DUMMYFUNCTION("""COMPUTED_VALUE"""),"Herc Holdings Inc  Com")</f>
        <v>Herc Holdings Inc  Com</v>
      </c>
      <c r="B1430" s="12" t="str">
        <f>IFERROR(__xludf.DUMMYFUNCTION("""COMPUTED_VALUE"""),"HRI-US")</f>
        <v>HRI-US</v>
      </c>
      <c r="C1430" s="12"/>
      <c r="D1430" s="13">
        <f>IFERROR(__xludf.DUMMYFUNCTION("""COMPUTED_VALUE"""),45447.0)</f>
        <v>45447</v>
      </c>
      <c r="E1430" s="13">
        <f>IFERROR(__xludf.DUMMYFUNCTION("""COMPUTED_VALUE"""),45792.0)</f>
        <v>45792</v>
      </c>
      <c r="F1430" s="13">
        <f>IFERROR(__xludf.DUMMYFUNCTION("""COMPUTED_VALUE"""),45792.0)</f>
        <v>45792</v>
      </c>
      <c r="G1430" s="12"/>
      <c r="H1430" s="12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</row>
    <row r="1431">
      <c r="A1431" s="11" t="str">
        <f>IFERROR(__xludf.DUMMYFUNCTION("""COMPUTED_VALUE"""),"Cleveland Cliffs Inc  Com")</f>
        <v>Cleveland Cliffs Inc  Com</v>
      </c>
      <c r="B1431" s="12" t="str">
        <f>IFERROR(__xludf.DUMMYFUNCTION("""COMPUTED_VALUE"""),"CLF-US")</f>
        <v>CLF-US</v>
      </c>
      <c r="C1431" s="12"/>
      <c r="D1431" s="13">
        <f>IFERROR(__xludf.DUMMYFUNCTION("""COMPUTED_VALUE"""),45447.0)</f>
        <v>45447</v>
      </c>
      <c r="E1431" s="13">
        <f>IFERROR(__xludf.DUMMYFUNCTION("""COMPUTED_VALUE"""),45792.0)</f>
        <v>45792</v>
      </c>
      <c r="F1431" s="13">
        <f>IFERROR(__xludf.DUMMYFUNCTION("""COMPUTED_VALUE"""),45792.0)</f>
        <v>45792</v>
      </c>
      <c r="G1431" s="12"/>
      <c r="H1431" s="12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</row>
    <row r="1432">
      <c r="A1432" s="11" t="str">
        <f>IFERROR(__xludf.DUMMYFUNCTION("""COMPUTED_VALUE"""),"Euronet Worldwide Inc  Com")</f>
        <v>Euronet Worldwide Inc  Com</v>
      </c>
      <c r="B1432" s="12" t="str">
        <f>IFERROR(__xludf.DUMMYFUNCTION("""COMPUTED_VALUE"""),"EEFT-US")</f>
        <v>EEFT-US</v>
      </c>
      <c r="C1432" s="12"/>
      <c r="D1432" s="13">
        <f>IFERROR(__xludf.DUMMYFUNCTION("""COMPUTED_VALUE"""),45447.0)</f>
        <v>45447</v>
      </c>
      <c r="E1432" s="13">
        <f>IFERROR(__xludf.DUMMYFUNCTION("""COMPUTED_VALUE"""),45791.0)</f>
        <v>45791</v>
      </c>
      <c r="F1432" s="13">
        <f>IFERROR(__xludf.DUMMYFUNCTION("""COMPUTED_VALUE"""),45791.0)</f>
        <v>45791</v>
      </c>
      <c r="G1432" s="12"/>
      <c r="H1432" s="12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</row>
    <row r="1433">
      <c r="A1433" s="11" t="str">
        <f>IFERROR(__xludf.DUMMYFUNCTION("""COMPUTED_VALUE"""),"Choice Hotels International Inc  Com")</f>
        <v>Choice Hotels International Inc  Com</v>
      </c>
      <c r="B1433" s="12" t="str">
        <f>IFERROR(__xludf.DUMMYFUNCTION("""COMPUTED_VALUE"""),"CHH-US")</f>
        <v>CHH-US</v>
      </c>
      <c r="C1433" s="12"/>
      <c r="D1433" s="13">
        <f>IFERROR(__xludf.DUMMYFUNCTION("""COMPUTED_VALUE"""),45447.0)</f>
        <v>45447</v>
      </c>
      <c r="E1433" s="13">
        <f>IFERROR(__xludf.DUMMYFUNCTION("""COMPUTED_VALUE"""),45792.0)</f>
        <v>45792</v>
      </c>
      <c r="F1433" s="13">
        <f>IFERROR(__xludf.DUMMYFUNCTION("""COMPUTED_VALUE"""),45792.0)</f>
        <v>45792</v>
      </c>
      <c r="G1433" s="12"/>
      <c r="H1433" s="12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</row>
    <row r="1434">
      <c r="A1434" s="11" t="str">
        <f>IFERROR(__xludf.DUMMYFUNCTION("""COMPUTED_VALUE"""),"Rayonier Inc  Com")</f>
        <v>Rayonier Inc  Com</v>
      </c>
      <c r="B1434" s="12" t="str">
        <f>IFERROR(__xludf.DUMMYFUNCTION("""COMPUTED_VALUE"""),"RYN-US")</f>
        <v>RYN-US</v>
      </c>
      <c r="C1434" s="12"/>
      <c r="D1434" s="13">
        <f>IFERROR(__xludf.DUMMYFUNCTION("""COMPUTED_VALUE"""),45447.0)</f>
        <v>45447</v>
      </c>
      <c r="E1434" s="13">
        <f>IFERROR(__xludf.DUMMYFUNCTION("""COMPUTED_VALUE"""),45792.0)</f>
        <v>45792</v>
      </c>
      <c r="F1434" s="13">
        <f>IFERROR(__xludf.DUMMYFUNCTION("""COMPUTED_VALUE"""),45792.0)</f>
        <v>45792</v>
      </c>
      <c r="G1434" s="12"/>
      <c r="H1434" s="12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</row>
    <row r="1435">
      <c r="A1435" s="11" t="str">
        <f>IFERROR(__xludf.DUMMYFUNCTION("""COMPUTED_VALUE"""),"Harley Davidson Inc  Com")</f>
        <v>Harley Davidson Inc  Com</v>
      </c>
      <c r="B1435" s="12" t="str">
        <f>IFERROR(__xludf.DUMMYFUNCTION("""COMPUTED_VALUE"""),"HOG-US")</f>
        <v>HOG-US</v>
      </c>
      <c r="C1435" s="12"/>
      <c r="D1435" s="13">
        <f>IFERROR(__xludf.DUMMYFUNCTION("""COMPUTED_VALUE"""),45447.0)</f>
        <v>45447</v>
      </c>
      <c r="E1435" s="13">
        <f>IFERROR(__xludf.DUMMYFUNCTION("""COMPUTED_VALUE"""),45791.0)</f>
        <v>45791</v>
      </c>
      <c r="F1435" s="13">
        <f>IFERROR(__xludf.DUMMYFUNCTION("""COMPUTED_VALUE"""),45791.0)</f>
        <v>45791</v>
      </c>
      <c r="G1435" s="12"/>
      <c r="H1435" s="12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</row>
    <row r="1436">
      <c r="A1436" s="11" t="str">
        <f>IFERROR(__xludf.DUMMYFUNCTION("""COMPUTED_VALUE"""),"Avient Corp  Com")</f>
        <v>Avient Corp  Com</v>
      </c>
      <c r="B1436" s="12" t="str">
        <f>IFERROR(__xludf.DUMMYFUNCTION("""COMPUTED_VALUE"""),"AVNT-US")</f>
        <v>AVNT-US</v>
      </c>
      <c r="C1436" s="12"/>
      <c r="D1436" s="13">
        <f>IFERROR(__xludf.DUMMYFUNCTION("""COMPUTED_VALUE"""),45447.0)</f>
        <v>45447</v>
      </c>
      <c r="E1436" s="13">
        <f>IFERROR(__xludf.DUMMYFUNCTION("""COMPUTED_VALUE"""),45791.0)</f>
        <v>45791</v>
      </c>
      <c r="F1436" s="13">
        <f>IFERROR(__xludf.DUMMYFUNCTION("""COMPUTED_VALUE"""),45791.0)</f>
        <v>45791</v>
      </c>
      <c r="G1436" s="12"/>
      <c r="H1436" s="12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</row>
    <row r="1437">
      <c r="A1437" s="11" t="str">
        <f>IFERROR(__xludf.DUMMYFUNCTION("""COMPUTED_VALUE"""),"Wsfs Financial Corp  Com")</f>
        <v>Wsfs Financial Corp  Com</v>
      </c>
      <c r="B1437" s="12" t="str">
        <f>IFERROR(__xludf.DUMMYFUNCTION("""COMPUTED_VALUE"""),"WSFS-US")</f>
        <v>WSFS-US</v>
      </c>
      <c r="C1437" s="12"/>
      <c r="D1437" s="13">
        <f>IFERROR(__xludf.DUMMYFUNCTION("""COMPUTED_VALUE"""),45447.0)</f>
        <v>45447</v>
      </c>
      <c r="E1437" s="13">
        <f>IFERROR(__xludf.DUMMYFUNCTION("""COMPUTED_VALUE"""),45792.0)</f>
        <v>45792</v>
      </c>
      <c r="F1437" s="13">
        <f>IFERROR(__xludf.DUMMYFUNCTION("""COMPUTED_VALUE"""),45792.0)</f>
        <v>45792</v>
      </c>
      <c r="G1437" s="12"/>
      <c r="H1437" s="12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</row>
    <row r="1438">
      <c r="A1438" s="11" t="str">
        <f>IFERROR(__xludf.DUMMYFUNCTION("""COMPUTED_VALUE"""),"Patrick Industries Inc  Com")</f>
        <v>Patrick Industries Inc  Com</v>
      </c>
      <c r="B1438" s="12" t="str">
        <f>IFERROR(__xludf.DUMMYFUNCTION("""COMPUTED_VALUE"""),"PATK-US")</f>
        <v>PATK-US</v>
      </c>
      <c r="C1438" s="12"/>
      <c r="D1438" s="13">
        <f>IFERROR(__xludf.DUMMYFUNCTION("""COMPUTED_VALUE"""),45447.0)</f>
        <v>45447</v>
      </c>
      <c r="E1438" s="13">
        <f>IFERROR(__xludf.DUMMYFUNCTION("""COMPUTED_VALUE"""),45792.0)</f>
        <v>45792</v>
      </c>
      <c r="F1438" s="13">
        <f>IFERROR(__xludf.DUMMYFUNCTION("""COMPUTED_VALUE"""),45792.0)</f>
        <v>45792</v>
      </c>
      <c r="G1438" s="12"/>
      <c r="H1438" s="12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</row>
    <row r="1439">
      <c r="A1439" s="11" t="str">
        <f>IFERROR(__xludf.DUMMYFUNCTION("""COMPUTED_VALUE"""),"Sylvamo Corp  Com")</f>
        <v>Sylvamo Corp  Com</v>
      </c>
      <c r="B1439" s="12" t="str">
        <f>IFERROR(__xludf.DUMMYFUNCTION("""COMPUTED_VALUE"""),"SLVM-US")</f>
        <v>SLVM-US</v>
      </c>
      <c r="C1439" s="12"/>
      <c r="D1439" s="13">
        <f>IFERROR(__xludf.DUMMYFUNCTION("""COMPUTED_VALUE"""),45447.0)</f>
        <v>45447</v>
      </c>
      <c r="E1439" s="13">
        <f>IFERROR(__xludf.DUMMYFUNCTION("""COMPUTED_VALUE"""),45792.0)</f>
        <v>45792</v>
      </c>
      <c r="F1439" s="13">
        <f>IFERROR(__xludf.DUMMYFUNCTION("""COMPUTED_VALUE"""),45792.0)</f>
        <v>45792</v>
      </c>
      <c r="G1439" s="12"/>
      <c r="H1439" s="12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</row>
    <row r="1440">
      <c r="A1440" s="11" t="str">
        <f>IFERROR(__xludf.DUMMYFUNCTION("""COMPUTED_VALUE"""),"Springworks Therapeutics Inc  Com")</f>
        <v>Springworks Therapeutics Inc  Com</v>
      </c>
      <c r="B1440" s="12" t="str">
        <f>IFERROR(__xludf.DUMMYFUNCTION("""COMPUTED_VALUE"""),"SWTX-US")</f>
        <v>SWTX-US</v>
      </c>
      <c r="C1440" s="12"/>
      <c r="D1440" s="13">
        <f>IFERROR(__xludf.DUMMYFUNCTION("""COMPUTED_VALUE"""),45447.0)</f>
        <v>45447</v>
      </c>
      <c r="E1440" s="13">
        <f>IFERROR(__xludf.DUMMYFUNCTION("""COMPUTED_VALUE"""),45791.0)</f>
        <v>45791</v>
      </c>
      <c r="F1440" s="13">
        <f>IFERROR(__xludf.DUMMYFUNCTION("""COMPUTED_VALUE"""),45791.0)</f>
        <v>45791</v>
      </c>
      <c r="G1440" s="12"/>
      <c r="H1440" s="12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</row>
    <row r="1441">
      <c r="A1441" s="11" t="str">
        <f>IFERROR(__xludf.DUMMYFUNCTION("""COMPUTED_VALUE"""),"Lci Industries  Com")</f>
        <v>Lci Industries  Com</v>
      </c>
      <c r="B1441" s="12" t="str">
        <f>IFERROR(__xludf.DUMMYFUNCTION("""COMPUTED_VALUE"""),"LCII-US")</f>
        <v>LCII-US</v>
      </c>
      <c r="C1441" s="12"/>
      <c r="D1441" s="13">
        <f>IFERROR(__xludf.DUMMYFUNCTION("""COMPUTED_VALUE"""),45447.0)</f>
        <v>45447</v>
      </c>
      <c r="E1441" s="13">
        <f>IFERROR(__xludf.DUMMYFUNCTION("""COMPUTED_VALUE"""),45792.0)</f>
        <v>45792</v>
      </c>
      <c r="F1441" s="13">
        <f>IFERROR(__xludf.DUMMYFUNCTION("""COMPUTED_VALUE"""),45792.0)</f>
        <v>45792</v>
      </c>
      <c r="G1441" s="12"/>
      <c r="H1441" s="12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</row>
    <row r="1442">
      <c r="A1442" s="11" t="str">
        <f>IFERROR(__xludf.DUMMYFUNCTION("""COMPUTED_VALUE"""),"Independent Bank Corp/Ma  Com")</f>
        <v>Independent Bank Corp/Ma  Com</v>
      </c>
      <c r="B1442" s="12" t="str">
        <f>IFERROR(__xludf.DUMMYFUNCTION("""COMPUTED_VALUE"""),"INDB-US")</f>
        <v>INDB-US</v>
      </c>
      <c r="C1442" s="12"/>
      <c r="D1442" s="13">
        <f>IFERROR(__xludf.DUMMYFUNCTION("""COMPUTED_VALUE"""),45447.0)</f>
        <v>45447</v>
      </c>
      <c r="E1442" s="13">
        <f>IFERROR(__xludf.DUMMYFUNCTION("""COMPUTED_VALUE"""),45792.0)</f>
        <v>45792</v>
      </c>
      <c r="F1442" s="13">
        <f>IFERROR(__xludf.DUMMYFUNCTION("""COMPUTED_VALUE"""),45792.0)</f>
        <v>45792</v>
      </c>
      <c r="G1442" s="12"/>
      <c r="H1442" s="12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</row>
    <row r="1443">
      <c r="A1443" s="11" t="str">
        <f>IFERROR(__xludf.DUMMYFUNCTION("""COMPUTED_VALUE"""),"Corecivic Inc  Com")</f>
        <v>Corecivic Inc  Com</v>
      </c>
      <c r="B1443" s="12" t="str">
        <f>IFERROR(__xludf.DUMMYFUNCTION("""COMPUTED_VALUE"""),"CXW-US")</f>
        <v>CXW-US</v>
      </c>
      <c r="C1443" s="12"/>
      <c r="D1443" s="13">
        <f>IFERROR(__xludf.DUMMYFUNCTION("""COMPUTED_VALUE"""),45447.0)</f>
        <v>45447</v>
      </c>
      <c r="E1443" s="13">
        <f>IFERROR(__xludf.DUMMYFUNCTION("""COMPUTED_VALUE"""),45792.0)</f>
        <v>45792</v>
      </c>
      <c r="F1443" s="13">
        <f>IFERROR(__xludf.DUMMYFUNCTION("""COMPUTED_VALUE"""),45792.0)</f>
        <v>45792</v>
      </c>
      <c r="G1443" s="12"/>
      <c r="H1443" s="12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</row>
    <row r="1444">
      <c r="A1444" s="11" t="str">
        <f>IFERROR(__xludf.DUMMYFUNCTION("""COMPUTED_VALUE"""),"Hni Corp  Com")</f>
        <v>Hni Corp  Com</v>
      </c>
      <c r="B1444" s="12" t="str">
        <f>IFERROR(__xludf.DUMMYFUNCTION("""COMPUTED_VALUE"""),"HNI-US")</f>
        <v>HNI-US</v>
      </c>
      <c r="C1444" s="12"/>
      <c r="D1444" s="13">
        <f>IFERROR(__xludf.DUMMYFUNCTION("""COMPUTED_VALUE"""),45447.0)</f>
        <v>45447</v>
      </c>
      <c r="E1444" s="13">
        <f>IFERROR(__xludf.DUMMYFUNCTION("""COMPUTED_VALUE"""),45792.0)</f>
        <v>45792</v>
      </c>
      <c r="F1444" s="13">
        <f>IFERROR(__xludf.DUMMYFUNCTION("""COMPUTED_VALUE"""),45792.0)</f>
        <v>45792</v>
      </c>
      <c r="G1444" s="12"/>
      <c r="H1444" s="12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</row>
    <row r="1445">
      <c r="A1445" s="11" t="str">
        <f>IFERROR(__xludf.DUMMYFUNCTION("""COMPUTED_VALUE"""),"Carters Inc  Com")</f>
        <v>Carters Inc  Com</v>
      </c>
      <c r="B1445" s="12" t="str">
        <f>IFERROR(__xludf.DUMMYFUNCTION("""COMPUTED_VALUE"""),"CRI-US")</f>
        <v>CRI-US</v>
      </c>
      <c r="C1445" s="12"/>
      <c r="D1445" s="13">
        <f>IFERROR(__xludf.DUMMYFUNCTION("""COMPUTED_VALUE"""),45447.0)</f>
        <v>45447</v>
      </c>
      <c r="E1445" s="13">
        <f>IFERROR(__xludf.DUMMYFUNCTION("""COMPUTED_VALUE"""),45791.0)</f>
        <v>45791</v>
      </c>
      <c r="F1445" s="13">
        <f>IFERROR(__xludf.DUMMYFUNCTION("""COMPUTED_VALUE"""),45791.0)</f>
        <v>45791</v>
      </c>
      <c r="G1445" s="12"/>
      <c r="H1445" s="12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</row>
    <row r="1446">
      <c r="A1446" s="11" t="str">
        <f>IFERROR(__xludf.DUMMYFUNCTION("""COMPUTED_VALUE"""),"Cable One Inc  Com")</f>
        <v>Cable One Inc  Com</v>
      </c>
      <c r="B1446" s="12" t="str">
        <f>IFERROR(__xludf.DUMMYFUNCTION("""COMPUTED_VALUE"""),"CABO-US")</f>
        <v>CABO-US</v>
      </c>
      <c r="C1446" s="12"/>
      <c r="D1446" s="13">
        <f>IFERROR(__xludf.DUMMYFUNCTION("""COMPUTED_VALUE"""),45447.0)</f>
        <v>45447</v>
      </c>
      <c r="E1446" s="13">
        <f>IFERROR(__xludf.DUMMYFUNCTION("""COMPUTED_VALUE"""),45792.0)</f>
        <v>45792</v>
      </c>
      <c r="F1446" s="13">
        <f>IFERROR(__xludf.DUMMYFUNCTION("""COMPUTED_VALUE"""),45792.0)</f>
        <v>45792</v>
      </c>
      <c r="G1446" s="12"/>
      <c r="H1446" s="12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</row>
    <row r="1447">
      <c r="A1447" s="11" t="str">
        <f>IFERROR(__xludf.DUMMYFUNCTION("""COMPUTED_VALUE"""),"Cushman &amp; Wakefield Plc  Com")</f>
        <v>Cushman &amp; Wakefield Plc  Com</v>
      </c>
      <c r="B1447" s="12" t="str">
        <f>IFERROR(__xludf.DUMMYFUNCTION("""COMPUTED_VALUE"""),"CWK-US")</f>
        <v>CWK-US</v>
      </c>
      <c r="C1447" s="12"/>
      <c r="D1447" s="13">
        <f>IFERROR(__xludf.DUMMYFUNCTION("""COMPUTED_VALUE"""),45447.0)</f>
        <v>45447</v>
      </c>
      <c r="E1447" s="13">
        <f>IFERROR(__xludf.DUMMYFUNCTION("""COMPUTED_VALUE"""),45792.0)</f>
        <v>45792</v>
      </c>
      <c r="F1447" s="13">
        <f>IFERROR(__xludf.DUMMYFUNCTION("""COMPUTED_VALUE"""),45792.0)</f>
        <v>45792</v>
      </c>
      <c r="G1447" s="12"/>
      <c r="H1447" s="12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</row>
    <row r="1448">
      <c r="A1448" s="11" t="str">
        <f>IFERROR(__xludf.DUMMYFUNCTION("""COMPUTED_VALUE"""),"Qcr Holdings Inc  Com")</f>
        <v>Qcr Holdings Inc  Com</v>
      </c>
      <c r="B1448" s="12" t="str">
        <f>IFERROR(__xludf.DUMMYFUNCTION("""COMPUTED_VALUE"""),"QCRH-US")</f>
        <v>QCRH-US</v>
      </c>
      <c r="C1448" s="12"/>
      <c r="D1448" s="13">
        <f>IFERROR(__xludf.DUMMYFUNCTION("""COMPUTED_VALUE"""),45447.0)</f>
        <v>45447</v>
      </c>
      <c r="E1448" s="13">
        <f>IFERROR(__xludf.DUMMYFUNCTION("""COMPUTED_VALUE"""),45799.0)</f>
        <v>45799</v>
      </c>
      <c r="F1448" s="13">
        <f>IFERROR(__xludf.DUMMYFUNCTION("""COMPUTED_VALUE"""),45799.0)</f>
        <v>45799</v>
      </c>
      <c r="G1448" s="12"/>
      <c r="H1448" s="12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</row>
    <row r="1449">
      <c r="A1449" s="11" t="str">
        <f>IFERROR(__xludf.DUMMYFUNCTION("""COMPUTED_VALUE"""),"Nelnet Inc  Cl A")</f>
        <v>Nelnet Inc  Cl A</v>
      </c>
      <c r="B1449" s="12" t="str">
        <f>IFERROR(__xludf.DUMMYFUNCTION("""COMPUTED_VALUE"""),"NNI-US")</f>
        <v>NNI-US</v>
      </c>
      <c r="C1449" s="12"/>
      <c r="D1449" s="13">
        <f>IFERROR(__xludf.DUMMYFUNCTION("""COMPUTED_VALUE"""),45447.0)</f>
        <v>45447</v>
      </c>
      <c r="E1449" s="13">
        <f>IFERROR(__xludf.DUMMYFUNCTION("""COMPUTED_VALUE"""),45792.0)</f>
        <v>45792</v>
      </c>
      <c r="F1449" s="13">
        <f>IFERROR(__xludf.DUMMYFUNCTION("""COMPUTED_VALUE"""),45792.0)</f>
        <v>45792</v>
      </c>
      <c r="G1449" s="12"/>
      <c r="H1449" s="12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</row>
    <row r="1450">
      <c r="A1450" s="11" t="str">
        <f>IFERROR(__xludf.DUMMYFUNCTION("""COMPUTED_VALUE"""),"Gentherm Inc  Cl A")</f>
        <v>Gentherm Inc  Cl A</v>
      </c>
      <c r="B1450" s="12" t="str">
        <f>IFERROR(__xludf.DUMMYFUNCTION("""COMPUTED_VALUE"""),"THRM-US")</f>
        <v>THRM-US</v>
      </c>
      <c r="C1450" s="12"/>
      <c r="D1450" s="13">
        <f>IFERROR(__xludf.DUMMYFUNCTION("""COMPUTED_VALUE"""),45447.0)</f>
        <v>45447</v>
      </c>
      <c r="E1450" s="13">
        <f>IFERROR(__xludf.DUMMYFUNCTION("""COMPUTED_VALUE"""),45785.0)</f>
        <v>45785</v>
      </c>
      <c r="F1450" s="13">
        <f>IFERROR(__xludf.DUMMYFUNCTION("""COMPUTED_VALUE"""),45785.0)</f>
        <v>45785</v>
      </c>
      <c r="G1450" s="12"/>
      <c r="H1450" s="12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</row>
    <row r="1451">
      <c r="A1451" s="11" t="str">
        <f>IFERROR(__xludf.DUMMYFUNCTION("""COMPUTED_VALUE"""),"Berkshire Hills Bancorp Inc  Com")</f>
        <v>Berkshire Hills Bancorp Inc  Com</v>
      </c>
      <c r="B1451" s="12" t="str">
        <f>IFERROR(__xludf.DUMMYFUNCTION("""COMPUTED_VALUE"""),"BHLB-US")</f>
        <v>BHLB-US</v>
      </c>
      <c r="C1451" s="12"/>
      <c r="D1451" s="13">
        <f>IFERROR(__xludf.DUMMYFUNCTION("""COMPUTED_VALUE"""),45447.0)</f>
        <v>45447</v>
      </c>
      <c r="E1451" s="13">
        <f>IFERROR(__xludf.DUMMYFUNCTION("""COMPUTED_VALUE"""),45798.0)</f>
        <v>45798</v>
      </c>
      <c r="F1451" s="13">
        <f>IFERROR(__xludf.DUMMYFUNCTION("""COMPUTED_VALUE"""),45798.0)</f>
        <v>45798</v>
      </c>
      <c r="G1451" s="12"/>
      <c r="H1451" s="12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</row>
    <row r="1452">
      <c r="A1452" s="11" t="str">
        <f>IFERROR(__xludf.DUMMYFUNCTION("""COMPUTED_VALUE"""),"Nextnav Inc  Com")</f>
        <v>Nextnav Inc  Com</v>
      </c>
      <c r="B1452" s="12" t="str">
        <f>IFERROR(__xludf.DUMMYFUNCTION("""COMPUTED_VALUE"""),"NN-US")</f>
        <v>NN-US</v>
      </c>
      <c r="C1452" s="12"/>
      <c r="D1452" s="13">
        <f>IFERROR(__xludf.DUMMYFUNCTION("""COMPUTED_VALUE"""),45448.0)</f>
        <v>45448</v>
      </c>
      <c r="E1452" s="13">
        <f>IFERROR(__xludf.DUMMYFUNCTION("""COMPUTED_VALUE"""),45799.0)</f>
        <v>45799</v>
      </c>
      <c r="F1452" s="13">
        <f>IFERROR(__xludf.DUMMYFUNCTION("""COMPUTED_VALUE"""),45799.0)</f>
        <v>45799</v>
      </c>
      <c r="G1452" s="12"/>
      <c r="H1452" s="12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</row>
    <row r="1453">
      <c r="A1453" s="11" t="str">
        <f>IFERROR(__xludf.DUMMYFUNCTION("""COMPUTED_VALUE"""),"Suncoke Energy Inc  Com")</f>
        <v>Suncoke Energy Inc  Com</v>
      </c>
      <c r="B1453" s="12" t="str">
        <f>IFERROR(__xludf.DUMMYFUNCTION("""COMPUTED_VALUE"""),"SXC-US")</f>
        <v>SXC-US</v>
      </c>
      <c r="C1453" s="12"/>
      <c r="D1453" s="13">
        <f>IFERROR(__xludf.DUMMYFUNCTION("""COMPUTED_VALUE"""),45448.0)</f>
        <v>45448</v>
      </c>
      <c r="E1453" s="13">
        <f>IFERROR(__xludf.DUMMYFUNCTION("""COMPUTED_VALUE"""),45792.0)</f>
        <v>45792</v>
      </c>
      <c r="F1453" s="13">
        <f>IFERROR(__xludf.DUMMYFUNCTION("""COMPUTED_VALUE"""),45792.0)</f>
        <v>45792</v>
      </c>
      <c r="G1453" s="12"/>
      <c r="H1453" s="12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</row>
    <row r="1454">
      <c r="A1454" s="11" t="str">
        <f>IFERROR(__xludf.DUMMYFUNCTION("""COMPUTED_VALUE"""),"Enact Holdings Inc  Com")</f>
        <v>Enact Holdings Inc  Com</v>
      </c>
      <c r="B1454" s="12" t="str">
        <f>IFERROR(__xludf.DUMMYFUNCTION("""COMPUTED_VALUE"""),"ACT-US")</f>
        <v>ACT-US</v>
      </c>
      <c r="C1454" s="12"/>
      <c r="D1454" s="13">
        <f>IFERROR(__xludf.DUMMYFUNCTION("""COMPUTED_VALUE"""),45448.0)</f>
        <v>45448</v>
      </c>
      <c r="E1454" s="13">
        <f>IFERROR(__xludf.DUMMYFUNCTION("""COMPUTED_VALUE"""),45791.0)</f>
        <v>45791</v>
      </c>
      <c r="F1454" s="13">
        <f>IFERROR(__xludf.DUMMYFUNCTION("""COMPUTED_VALUE"""),45791.0)</f>
        <v>45791</v>
      </c>
      <c r="G1454" s="12"/>
      <c r="H1454" s="12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</row>
    <row r="1455">
      <c r="A1455" s="11" t="str">
        <f>IFERROR(__xludf.DUMMYFUNCTION("""COMPUTED_VALUE"""),"Collegium Pharmaceutical Inc  Com")</f>
        <v>Collegium Pharmaceutical Inc  Com</v>
      </c>
      <c r="B1455" s="12" t="str">
        <f>IFERROR(__xludf.DUMMYFUNCTION("""COMPUTED_VALUE"""),"COLL-US")</f>
        <v>COLL-US</v>
      </c>
      <c r="C1455" s="12"/>
      <c r="D1455" s="13">
        <f>IFERROR(__xludf.DUMMYFUNCTION("""COMPUTED_VALUE"""),45448.0)</f>
        <v>45448</v>
      </c>
      <c r="E1455" s="13">
        <f>IFERROR(__xludf.DUMMYFUNCTION("""COMPUTED_VALUE"""),45792.0)</f>
        <v>45792</v>
      </c>
      <c r="F1455" s="13">
        <f>IFERROR(__xludf.DUMMYFUNCTION("""COMPUTED_VALUE"""),45792.0)</f>
        <v>45792</v>
      </c>
      <c r="G1455" s="12"/>
      <c r="H1455" s="12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</row>
    <row r="1456">
      <c r="A1456" s="11" t="str">
        <f>IFERROR(__xludf.DUMMYFUNCTION("""COMPUTED_VALUE"""),"Brightspire Capital Inc  Cl A")</f>
        <v>Brightspire Capital Inc  Cl A</v>
      </c>
      <c r="B1456" s="12" t="str">
        <f>IFERROR(__xludf.DUMMYFUNCTION("""COMPUTED_VALUE"""),"BRSP-US")</f>
        <v>BRSP-US</v>
      </c>
      <c r="C1456" s="12"/>
      <c r="D1456" s="13">
        <f>IFERROR(__xludf.DUMMYFUNCTION("""COMPUTED_VALUE"""),45448.0)</f>
        <v>45448</v>
      </c>
      <c r="E1456" s="13">
        <f>IFERROR(__xludf.DUMMYFUNCTION("""COMPUTED_VALUE"""),45791.0)</f>
        <v>45791</v>
      </c>
      <c r="F1456" s="13">
        <f>IFERROR(__xludf.DUMMYFUNCTION("""COMPUTED_VALUE"""),45791.0)</f>
        <v>45791</v>
      </c>
      <c r="G1456" s="12"/>
      <c r="H1456" s="12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</row>
    <row r="1457">
      <c r="A1457" s="11" t="str">
        <f>IFERROR(__xludf.DUMMYFUNCTION("""COMPUTED_VALUE"""),"Metrocity Bankshares Inc  Com")</f>
        <v>Metrocity Bankshares Inc  Com</v>
      </c>
      <c r="B1457" s="12" t="str">
        <f>IFERROR(__xludf.DUMMYFUNCTION("""COMPUTED_VALUE"""),"MCBS-US")</f>
        <v>MCBS-US</v>
      </c>
      <c r="C1457" s="12"/>
      <c r="D1457" s="13">
        <f>IFERROR(__xludf.DUMMYFUNCTION("""COMPUTED_VALUE"""),45448.0)</f>
        <v>45448</v>
      </c>
      <c r="E1457" s="13">
        <f>IFERROR(__xludf.DUMMYFUNCTION("""COMPUTED_VALUE"""),45799.0)</f>
        <v>45799</v>
      </c>
      <c r="F1457" s="13">
        <f>IFERROR(__xludf.DUMMYFUNCTION("""COMPUTED_VALUE"""),45799.0)</f>
        <v>45799</v>
      </c>
      <c r="G1457" s="12"/>
      <c r="H1457" s="12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</row>
    <row r="1458">
      <c r="A1458" s="11" t="str">
        <f>IFERROR(__xludf.DUMMYFUNCTION("""COMPUTED_VALUE"""),"Paramount Group Inc  Com")</f>
        <v>Paramount Group Inc  Com</v>
      </c>
      <c r="B1458" s="12" t="str">
        <f>IFERROR(__xludf.DUMMYFUNCTION("""COMPUTED_VALUE"""),"PGRE-US")</f>
        <v>PGRE-US</v>
      </c>
      <c r="C1458" s="12"/>
      <c r="D1458" s="13">
        <f>IFERROR(__xludf.DUMMYFUNCTION("""COMPUTED_VALUE"""),45448.0)</f>
        <v>45448</v>
      </c>
      <c r="E1458" s="13">
        <f>IFERROR(__xludf.DUMMYFUNCTION("""COMPUTED_VALUE"""),45792.0)</f>
        <v>45792</v>
      </c>
      <c r="F1458" s="13">
        <f>IFERROR(__xludf.DUMMYFUNCTION("""COMPUTED_VALUE"""),45792.0)</f>
        <v>45792</v>
      </c>
      <c r="G1458" s="12"/>
      <c r="H1458" s="12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</row>
    <row r="1459">
      <c r="A1459" s="11" t="str">
        <f>IFERROR(__xludf.DUMMYFUNCTION("""COMPUTED_VALUE"""),"Bluelinx Holdings Inc  Com")</f>
        <v>Bluelinx Holdings Inc  Com</v>
      </c>
      <c r="B1459" s="12" t="str">
        <f>IFERROR(__xludf.DUMMYFUNCTION("""COMPUTED_VALUE"""),"BXC-US")</f>
        <v>BXC-US</v>
      </c>
      <c r="C1459" s="12"/>
      <c r="D1459" s="13">
        <f>IFERROR(__xludf.DUMMYFUNCTION("""COMPUTED_VALUE"""),45448.0)</f>
        <v>45448</v>
      </c>
      <c r="E1459" s="13">
        <f>IFERROR(__xludf.DUMMYFUNCTION("""COMPUTED_VALUE"""),45792.0)</f>
        <v>45792</v>
      </c>
      <c r="F1459" s="13">
        <f>IFERROR(__xludf.DUMMYFUNCTION("""COMPUTED_VALUE"""),45792.0)</f>
        <v>45792</v>
      </c>
      <c r="G1459" s="12"/>
      <c r="H1459" s="12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</row>
    <row r="1460">
      <c r="A1460" s="11" t="str">
        <f>IFERROR(__xludf.DUMMYFUNCTION("""COMPUTED_VALUE"""),"Netstreit Corp  Com")</f>
        <v>Netstreit Corp  Com</v>
      </c>
      <c r="B1460" s="12" t="str">
        <f>IFERROR(__xludf.DUMMYFUNCTION("""COMPUTED_VALUE"""),"NTST-US")</f>
        <v>NTST-US</v>
      </c>
      <c r="C1460" s="12"/>
      <c r="D1460" s="13">
        <f>IFERROR(__xludf.DUMMYFUNCTION("""COMPUTED_VALUE"""),45448.0)</f>
        <v>45448</v>
      </c>
      <c r="E1460" s="13">
        <f>IFERROR(__xludf.DUMMYFUNCTION("""COMPUTED_VALUE"""),45792.0)</f>
        <v>45792</v>
      </c>
      <c r="F1460" s="13">
        <f>IFERROR(__xludf.DUMMYFUNCTION("""COMPUTED_VALUE"""),45792.0)</f>
        <v>45792</v>
      </c>
      <c r="G1460" s="12"/>
      <c r="H1460" s="12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</row>
    <row r="1461">
      <c r="A1461" s="11" t="str">
        <f>IFERROR(__xludf.DUMMYFUNCTION("""COMPUTED_VALUE"""),"Perpetua Resources Corp  Com")</f>
        <v>Perpetua Resources Corp  Com</v>
      </c>
      <c r="B1461" s="12" t="str">
        <f>IFERROR(__xludf.DUMMYFUNCTION("""COMPUTED_VALUE"""),"PPTA-US")</f>
        <v>PPTA-US</v>
      </c>
      <c r="C1461" s="12"/>
      <c r="D1461" s="13">
        <f>IFERROR(__xludf.DUMMYFUNCTION("""COMPUTED_VALUE"""),45448.0)</f>
        <v>45448</v>
      </c>
      <c r="E1461" s="13">
        <f>IFERROR(__xludf.DUMMYFUNCTION("""COMPUTED_VALUE"""),45792.0)</f>
        <v>45792</v>
      </c>
      <c r="F1461" s="13">
        <f>IFERROR(__xludf.DUMMYFUNCTION("""COMPUTED_VALUE"""),45792.0)</f>
        <v>45792</v>
      </c>
      <c r="G1461" s="12"/>
      <c r="H1461" s="12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</row>
    <row r="1462">
      <c r="A1462" s="11" t="str">
        <f>IFERROR(__xludf.DUMMYFUNCTION("""COMPUTED_VALUE"""),"Novagold Resources Inc  Com")</f>
        <v>Novagold Resources Inc  Com</v>
      </c>
      <c r="B1462" s="12" t="str">
        <f>IFERROR(__xludf.DUMMYFUNCTION("""COMPUTED_VALUE"""),"NG-CA")</f>
        <v>NG-CA</v>
      </c>
      <c r="C1462" s="12"/>
      <c r="D1462" s="13">
        <f>IFERROR(__xludf.DUMMYFUNCTION("""COMPUTED_VALUE"""),45448.0)</f>
        <v>45448</v>
      </c>
      <c r="E1462" s="13">
        <f>IFERROR(__xludf.DUMMYFUNCTION("""COMPUTED_VALUE"""),45792.0)</f>
        <v>45792</v>
      </c>
      <c r="F1462" s="13">
        <f>IFERROR(__xludf.DUMMYFUNCTION("""COMPUTED_VALUE"""),45792.0)</f>
        <v>45792</v>
      </c>
      <c r="G1462" s="12"/>
      <c r="H1462" s="12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</row>
    <row r="1463">
      <c r="A1463" s="11" t="str">
        <f>IFERROR(__xludf.DUMMYFUNCTION("""COMPUTED_VALUE"""),"Npk International Inc  Com")</f>
        <v>Npk International Inc  Com</v>
      </c>
      <c r="B1463" s="12" t="str">
        <f>IFERROR(__xludf.DUMMYFUNCTION("""COMPUTED_VALUE"""),"NPKI-US")</f>
        <v>NPKI-US</v>
      </c>
      <c r="C1463" s="12"/>
      <c r="D1463" s="13">
        <f>IFERROR(__xludf.DUMMYFUNCTION("""COMPUTED_VALUE"""),45448.0)</f>
        <v>45448</v>
      </c>
      <c r="E1463" s="13">
        <f>IFERROR(__xludf.DUMMYFUNCTION("""COMPUTED_VALUE"""),45792.0)</f>
        <v>45792</v>
      </c>
      <c r="F1463" s="13">
        <f>IFERROR(__xludf.DUMMYFUNCTION("""COMPUTED_VALUE"""),45792.0)</f>
        <v>45792</v>
      </c>
      <c r="G1463" s="12"/>
      <c r="H1463" s="12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</row>
    <row r="1464">
      <c r="A1464" s="11" t="str">
        <f>IFERROR(__xludf.DUMMYFUNCTION("""COMPUTED_VALUE"""),"Eagle Bancorp Inc /Md/  Com")</f>
        <v>Eagle Bancorp Inc /Md/  Com</v>
      </c>
      <c r="B1464" s="12" t="str">
        <f>IFERROR(__xludf.DUMMYFUNCTION("""COMPUTED_VALUE"""),"EGBN-US")</f>
        <v>EGBN-US</v>
      </c>
      <c r="C1464" s="12"/>
      <c r="D1464" s="13">
        <f>IFERROR(__xludf.DUMMYFUNCTION("""COMPUTED_VALUE"""),45448.0)</f>
        <v>45448</v>
      </c>
      <c r="E1464" s="13">
        <f>IFERROR(__xludf.DUMMYFUNCTION("""COMPUTED_VALUE"""),45792.0)</f>
        <v>45792</v>
      </c>
      <c r="F1464" s="13">
        <f>IFERROR(__xludf.DUMMYFUNCTION("""COMPUTED_VALUE"""),45792.0)</f>
        <v>45792</v>
      </c>
      <c r="G1464" s="12"/>
      <c r="H1464" s="12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</row>
    <row r="1465">
      <c r="A1465" s="11" t="str">
        <f>IFERROR(__xludf.DUMMYFUNCTION("""COMPUTED_VALUE"""),"Merchants Bancorp /In/  Com")</f>
        <v>Merchants Bancorp /In/  Com</v>
      </c>
      <c r="B1465" s="12" t="str">
        <f>IFERROR(__xludf.DUMMYFUNCTION("""COMPUTED_VALUE"""),"MBIN-US")</f>
        <v>MBIN-US</v>
      </c>
      <c r="C1465" s="12"/>
      <c r="D1465" s="13">
        <f>IFERROR(__xludf.DUMMYFUNCTION("""COMPUTED_VALUE"""),45448.0)</f>
        <v>45448</v>
      </c>
      <c r="E1465" s="13">
        <f>IFERROR(__xludf.DUMMYFUNCTION("""COMPUTED_VALUE"""),45792.0)</f>
        <v>45792</v>
      </c>
      <c r="F1465" s="13">
        <f>IFERROR(__xludf.DUMMYFUNCTION("""COMPUTED_VALUE"""),45792.0)</f>
        <v>45792</v>
      </c>
      <c r="G1465" s="12"/>
      <c r="H1465" s="12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</row>
    <row r="1466">
      <c r="A1466" s="11" t="str">
        <f>IFERROR(__xludf.DUMMYFUNCTION("""COMPUTED_VALUE"""),"Standard Motor Products Inc  Com")</f>
        <v>Standard Motor Products Inc  Com</v>
      </c>
      <c r="B1466" s="12" t="str">
        <f>IFERROR(__xludf.DUMMYFUNCTION("""COMPUTED_VALUE"""),"SMP-US")</f>
        <v>SMP-US</v>
      </c>
      <c r="C1466" s="12"/>
      <c r="D1466" s="13">
        <f>IFERROR(__xludf.DUMMYFUNCTION("""COMPUTED_VALUE"""),45448.0)</f>
        <v>45448</v>
      </c>
      <c r="E1466" s="13">
        <f>IFERROR(__xludf.DUMMYFUNCTION("""COMPUTED_VALUE"""),45792.0)</f>
        <v>45792</v>
      </c>
      <c r="F1466" s="13">
        <f>IFERROR(__xludf.DUMMYFUNCTION("""COMPUTED_VALUE"""),45792.0)</f>
        <v>45792</v>
      </c>
      <c r="G1466" s="12"/>
      <c r="H1466" s="12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</row>
    <row r="1467">
      <c r="A1467" s="11" t="str">
        <f>IFERROR(__xludf.DUMMYFUNCTION("""COMPUTED_VALUE"""),"Bar Harbor Bankshares Inc  Com")</f>
        <v>Bar Harbor Bankshares Inc  Com</v>
      </c>
      <c r="B1467" s="12" t="str">
        <f>IFERROR(__xludf.DUMMYFUNCTION("""COMPUTED_VALUE"""),"BHB-US")</f>
        <v>BHB-US</v>
      </c>
      <c r="C1467" s="12"/>
      <c r="D1467" s="13">
        <f>IFERROR(__xludf.DUMMYFUNCTION("""COMPUTED_VALUE"""),45448.0)</f>
        <v>45448</v>
      </c>
      <c r="E1467" s="13">
        <f>IFERROR(__xludf.DUMMYFUNCTION("""COMPUTED_VALUE"""),45792.0)</f>
        <v>45792</v>
      </c>
      <c r="F1467" s="13">
        <f>IFERROR(__xludf.DUMMYFUNCTION("""COMPUTED_VALUE"""),45792.0)</f>
        <v>45792</v>
      </c>
      <c r="G1467" s="12"/>
      <c r="H1467" s="12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</row>
    <row r="1468">
      <c r="A1468" s="11" t="str">
        <f>IFERROR(__xludf.DUMMYFUNCTION("""COMPUTED_VALUE"""),"Ballys Corp  Com")</f>
        <v>Ballys Corp  Com</v>
      </c>
      <c r="B1468" s="12" t="str">
        <f>IFERROR(__xludf.DUMMYFUNCTION("""COMPUTED_VALUE"""),"BALY-US")</f>
        <v>BALY-US</v>
      </c>
      <c r="C1468" s="12"/>
      <c r="D1468" s="13">
        <f>IFERROR(__xludf.DUMMYFUNCTION("""COMPUTED_VALUE"""),45448.0)</f>
        <v>45448</v>
      </c>
      <c r="E1468" s="13">
        <f>IFERROR(__xludf.DUMMYFUNCTION("""COMPUTED_VALUE"""),45792.0)</f>
        <v>45792</v>
      </c>
      <c r="F1468" s="13">
        <f>IFERROR(__xludf.DUMMYFUNCTION("""COMPUTED_VALUE"""),45792.0)</f>
        <v>45792</v>
      </c>
      <c r="G1468" s="12"/>
      <c r="H1468" s="12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</row>
    <row r="1469">
      <c r="A1469" s="11" t="str">
        <f>IFERROR(__xludf.DUMMYFUNCTION("""COMPUTED_VALUE"""),"Clear Channel Outdoor Hldgs Inc  Com")</f>
        <v>Clear Channel Outdoor Hldgs Inc  Com</v>
      </c>
      <c r="B1469" s="12" t="str">
        <f>IFERROR(__xludf.DUMMYFUNCTION("""COMPUTED_VALUE"""),"CCO-US")</f>
        <v>CCO-US</v>
      </c>
      <c r="C1469" s="12"/>
      <c r="D1469" s="13">
        <f>IFERROR(__xludf.DUMMYFUNCTION("""COMPUTED_VALUE"""),45448.0)</f>
        <v>45448</v>
      </c>
      <c r="E1469" s="13">
        <f>IFERROR(__xludf.DUMMYFUNCTION("""COMPUTED_VALUE"""),45806.0)</f>
        <v>45806</v>
      </c>
      <c r="F1469" s="13">
        <f>IFERROR(__xludf.DUMMYFUNCTION("""COMPUTED_VALUE"""),45806.0)</f>
        <v>45806</v>
      </c>
      <c r="G1469" s="12"/>
      <c r="H1469" s="12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</row>
    <row r="1470">
      <c r="A1470" s="11" t="str">
        <f>IFERROR(__xludf.DUMMYFUNCTION("""COMPUTED_VALUE"""),"Arhaus Inc  Cl A")</f>
        <v>Arhaus Inc  Cl A</v>
      </c>
      <c r="B1470" s="12" t="str">
        <f>IFERROR(__xludf.DUMMYFUNCTION("""COMPUTED_VALUE"""),"ARHS-US")</f>
        <v>ARHS-US</v>
      </c>
      <c r="C1470" s="12"/>
      <c r="D1470" s="13">
        <f>IFERROR(__xludf.DUMMYFUNCTION("""COMPUTED_VALUE"""),45448.0)</f>
        <v>45448</v>
      </c>
      <c r="E1470" s="13">
        <f>IFERROR(__xludf.DUMMYFUNCTION("""COMPUTED_VALUE"""),45792.0)</f>
        <v>45792</v>
      </c>
      <c r="F1470" s="13">
        <f>IFERROR(__xludf.DUMMYFUNCTION("""COMPUTED_VALUE"""),45792.0)</f>
        <v>45792</v>
      </c>
      <c r="G1470" s="12"/>
      <c r="H1470" s="12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</row>
    <row r="1471">
      <c r="A1471" s="11" t="str">
        <f>IFERROR(__xludf.DUMMYFUNCTION("""COMPUTED_VALUE"""),"Bigcommerce Hldgs Inc  Com Ser 1 Vtg")</f>
        <v>Bigcommerce Hldgs Inc  Com Ser 1 Vtg</v>
      </c>
      <c r="B1471" s="12" t="str">
        <f>IFERROR(__xludf.DUMMYFUNCTION("""COMPUTED_VALUE"""),"BIGC-US")</f>
        <v>BIGC-US</v>
      </c>
      <c r="C1471" s="12"/>
      <c r="D1471" s="13">
        <f>IFERROR(__xludf.DUMMYFUNCTION("""COMPUTED_VALUE"""),45448.0)</f>
        <v>45448</v>
      </c>
      <c r="E1471" s="13">
        <f>IFERROR(__xludf.DUMMYFUNCTION("""COMPUTED_VALUE"""),45792.0)</f>
        <v>45792</v>
      </c>
      <c r="F1471" s="13">
        <f>IFERROR(__xludf.DUMMYFUNCTION("""COMPUTED_VALUE"""),45792.0)</f>
        <v>45792</v>
      </c>
      <c r="G1471" s="12"/>
      <c r="H1471" s="12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</row>
    <row r="1472">
      <c r="A1472" s="11" t="str">
        <f>IFERROR(__xludf.DUMMYFUNCTION("""COMPUTED_VALUE"""),"Clean Energy Fuels Corp  Com")</f>
        <v>Clean Energy Fuels Corp  Com</v>
      </c>
      <c r="B1472" s="12" t="str">
        <f>IFERROR(__xludf.DUMMYFUNCTION("""COMPUTED_VALUE"""),"CLNE-US")</f>
        <v>CLNE-US</v>
      </c>
      <c r="C1472" s="12"/>
      <c r="D1472" s="13">
        <f>IFERROR(__xludf.DUMMYFUNCTION("""COMPUTED_VALUE"""),45448.0)</f>
        <v>45448</v>
      </c>
      <c r="E1472" s="13">
        <f>IFERROR(__xludf.DUMMYFUNCTION("""COMPUTED_VALUE"""),45799.0)</f>
        <v>45799</v>
      </c>
      <c r="F1472" s="13">
        <f>IFERROR(__xludf.DUMMYFUNCTION("""COMPUTED_VALUE"""),45799.0)</f>
        <v>45799</v>
      </c>
      <c r="G1472" s="12"/>
      <c r="H1472" s="12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</row>
    <row r="1473">
      <c r="A1473" s="11" t="str">
        <f>IFERROR(__xludf.DUMMYFUNCTION("""COMPUTED_VALUE"""),"Five Star Bancorp  Com")</f>
        <v>Five Star Bancorp  Com</v>
      </c>
      <c r="B1473" s="12" t="str">
        <f>IFERROR(__xludf.DUMMYFUNCTION("""COMPUTED_VALUE"""),"FSBC-US")</f>
        <v>FSBC-US</v>
      </c>
      <c r="C1473" s="12"/>
      <c r="D1473" s="13">
        <f>IFERROR(__xludf.DUMMYFUNCTION("""COMPUTED_VALUE"""),45448.0)</f>
        <v>45448</v>
      </c>
      <c r="E1473" s="13">
        <f>IFERROR(__xludf.DUMMYFUNCTION("""COMPUTED_VALUE"""),45792.0)</f>
        <v>45792</v>
      </c>
      <c r="F1473" s="13">
        <f>IFERROR(__xludf.DUMMYFUNCTION("""COMPUTED_VALUE"""),45792.0)</f>
        <v>45792</v>
      </c>
      <c r="G1473" s="12"/>
      <c r="H1473" s="12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</row>
    <row r="1474">
      <c r="A1474" s="11" t="str">
        <f>IFERROR(__xludf.DUMMYFUNCTION("""COMPUTED_VALUE"""),"Regional Management Corp  Com")</f>
        <v>Regional Management Corp  Com</v>
      </c>
      <c r="B1474" s="12" t="str">
        <f>IFERROR(__xludf.DUMMYFUNCTION("""COMPUTED_VALUE"""),"RM-US")</f>
        <v>RM-US</v>
      </c>
      <c r="C1474" s="12"/>
      <c r="D1474" s="13">
        <f>IFERROR(__xludf.DUMMYFUNCTION("""COMPUTED_VALUE"""),45448.0)</f>
        <v>45448</v>
      </c>
      <c r="E1474" s="13">
        <f>IFERROR(__xludf.DUMMYFUNCTION("""COMPUTED_VALUE"""),45792.0)</f>
        <v>45792</v>
      </c>
      <c r="F1474" s="13">
        <f>IFERROR(__xludf.DUMMYFUNCTION("""COMPUTED_VALUE"""),45792.0)</f>
        <v>45792</v>
      </c>
      <c r="G1474" s="12"/>
      <c r="H1474" s="12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</row>
    <row r="1475">
      <c r="A1475" s="11" t="str">
        <f>IFERROR(__xludf.DUMMYFUNCTION("""COMPUTED_VALUE"""),"Fulgent Genetics Inc  Com")</f>
        <v>Fulgent Genetics Inc  Com</v>
      </c>
      <c r="B1475" s="12" t="str">
        <f>IFERROR(__xludf.DUMMYFUNCTION("""COMPUTED_VALUE"""),"FLGT-US")</f>
        <v>FLGT-US</v>
      </c>
      <c r="C1475" s="12"/>
      <c r="D1475" s="13">
        <f>IFERROR(__xludf.DUMMYFUNCTION("""COMPUTED_VALUE"""),45448.0)</f>
        <v>45448</v>
      </c>
      <c r="E1475" s="13">
        <f>IFERROR(__xludf.DUMMYFUNCTION("""COMPUTED_VALUE"""),45792.0)</f>
        <v>45792</v>
      </c>
      <c r="F1475" s="13">
        <f>IFERROR(__xludf.DUMMYFUNCTION("""COMPUTED_VALUE"""),45792.0)</f>
        <v>45792</v>
      </c>
      <c r="G1475" s="12"/>
      <c r="H1475" s="12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</row>
    <row r="1476">
      <c r="A1476" s="11" t="str">
        <f>IFERROR(__xludf.DUMMYFUNCTION("""COMPUTED_VALUE"""),"Mediaalpha Inc  Cl A")</f>
        <v>Mediaalpha Inc  Cl A</v>
      </c>
      <c r="B1476" s="12" t="str">
        <f>IFERROR(__xludf.DUMMYFUNCTION("""COMPUTED_VALUE"""),"MAX-US")</f>
        <v>MAX-US</v>
      </c>
      <c r="C1476" s="12"/>
      <c r="D1476" s="13">
        <f>IFERROR(__xludf.DUMMYFUNCTION("""COMPUTED_VALUE"""),45448.0)</f>
        <v>45448</v>
      </c>
      <c r="E1476" s="13">
        <f>IFERROR(__xludf.DUMMYFUNCTION("""COMPUTED_VALUE"""),45791.0)</f>
        <v>45791</v>
      </c>
      <c r="F1476" s="13">
        <f>IFERROR(__xludf.DUMMYFUNCTION("""COMPUTED_VALUE"""),45791.0)</f>
        <v>45791</v>
      </c>
      <c r="G1476" s="12"/>
      <c r="H1476" s="12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</row>
    <row r="1477">
      <c r="A1477" s="11" t="str">
        <f>IFERROR(__xludf.DUMMYFUNCTION("""COMPUTED_VALUE"""),"Bowman Consulting Group Ltd  Com")</f>
        <v>Bowman Consulting Group Ltd  Com</v>
      </c>
      <c r="B1477" s="12" t="str">
        <f>IFERROR(__xludf.DUMMYFUNCTION("""COMPUTED_VALUE"""),"BWMN-US")</f>
        <v>BWMN-US</v>
      </c>
      <c r="C1477" s="12"/>
      <c r="D1477" s="13">
        <f>IFERROR(__xludf.DUMMYFUNCTION("""COMPUTED_VALUE"""),45448.0)</f>
        <v>45448</v>
      </c>
      <c r="E1477" s="13">
        <f>IFERROR(__xludf.DUMMYFUNCTION("""COMPUTED_VALUE"""),45799.0)</f>
        <v>45799</v>
      </c>
      <c r="F1477" s="13">
        <f>IFERROR(__xludf.DUMMYFUNCTION("""COMPUTED_VALUE"""),45799.0)</f>
        <v>45799</v>
      </c>
      <c r="G1477" s="12"/>
      <c r="H1477" s="12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</row>
    <row r="1478">
      <c r="A1478" s="11" t="str">
        <f>IFERROR(__xludf.DUMMYFUNCTION("""COMPUTED_VALUE"""),"Blue Foundry Bancorp  Com")</f>
        <v>Blue Foundry Bancorp  Com</v>
      </c>
      <c r="B1478" s="12" t="str">
        <f>IFERROR(__xludf.DUMMYFUNCTION("""COMPUTED_VALUE"""),"BLFY-US")</f>
        <v>BLFY-US</v>
      </c>
      <c r="C1478" s="12"/>
      <c r="D1478" s="13">
        <f>IFERROR(__xludf.DUMMYFUNCTION("""COMPUTED_VALUE"""),45448.0)</f>
        <v>45448</v>
      </c>
      <c r="E1478" s="13">
        <f>IFERROR(__xludf.DUMMYFUNCTION("""COMPUTED_VALUE"""),45792.0)</f>
        <v>45792</v>
      </c>
      <c r="F1478" s="13">
        <f>IFERROR(__xludf.DUMMYFUNCTION("""COMPUTED_VALUE"""),45792.0)</f>
        <v>45792</v>
      </c>
      <c r="G1478" s="12"/>
      <c r="H1478" s="12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</row>
    <row r="1479">
      <c r="A1479" s="11" t="str">
        <f>IFERROR(__xludf.DUMMYFUNCTION("""COMPUTED_VALUE"""),"Cricut Inc  Cl A")</f>
        <v>Cricut Inc  Cl A</v>
      </c>
      <c r="B1479" s="12" t="str">
        <f>IFERROR(__xludf.DUMMYFUNCTION("""COMPUTED_VALUE"""),"CRCT-US")</f>
        <v>CRCT-US</v>
      </c>
      <c r="C1479" s="12"/>
      <c r="D1479" s="13">
        <f>IFERROR(__xludf.DUMMYFUNCTION("""COMPUTED_VALUE"""),45448.0)</f>
        <v>45448</v>
      </c>
      <c r="E1479" s="13">
        <f>IFERROR(__xludf.DUMMYFUNCTION("""COMPUTED_VALUE"""),45805.0)</f>
        <v>45805</v>
      </c>
      <c r="F1479" s="13">
        <f>IFERROR(__xludf.DUMMYFUNCTION("""COMPUTED_VALUE"""),45805.0)</f>
        <v>45805</v>
      </c>
      <c r="G1479" s="12"/>
      <c r="H1479" s="12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</row>
    <row r="1480">
      <c r="A1480" s="11" t="str">
        <f>IFERROR(__xludf.DUMMYFUNCTION("""COMPUTED_VALUE"""),"Intrepid Potash Inc  Com")</f>
        <v>Intrepid Potash Inc  Com</v>
      </c>
      <c r="B1480" s="12" t="str">
        <f>IFERROR(__xludf.DUMMYFUNCTION("""COMPUTED_VALUE"""),"IPI-US")</f>
        <v>IPI-US</v>
      </c>
      <c r="C1480" s="12"/>
      <c r="D1480" s="13">
        <f>IFERROR(__xludf.DUMMYFUNCTION("""COMPUTED_VALUE"""),45448.0)</f>
        <v>45448</v>
      </c>
      <c r="E1480" s="13">
        <f>IFERROR(__xludf.DUMMYFUNCTION("""COMPUTED_VALUE"""),45806.0)</f>
        <v>45806</v>
      </c>
      <c r="F1480" s="13">
        <f>IFERROR(__xludf.DUMMYFUNCTION("""COMPUTED_VALUE"""),45806.0)</f>
        <v>45806</v>
      </c>
      <c r="G1480" s="12"/>
      <c r="H1480" s="12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</row>
    <row r="1481">
      <c r="A1481" s="11" t="str">
        <f>IFERROR(__xludf.DUMMYFUNCTION("""COMPUTED_VALUE"""),"Core Molding Technologies Inc  Com")</f>
        <v>Core Molding Technologies Inc  Com</v>
      </c>
      <c r="B1481" s="12" t="str">
        <f>IFERROR(__xludf.DUMMYFUNCTION("""COMPUTED_VALUE"""),"CMT-US")</f>
        <v>CMT-US</v>
      </c>
      <c r="C1481" s="12"/>
      <c r="D1481" s="13">
        <f>IFERROR(__xludf.DUMMYFUNCTION("""COMPUTED_VALUE"""),45448.0)</f>
        <v>45448</v>
      </c>
      <c r="E1481" s="13">
        <f>IFERROR(__xludf.DUMMYFUNCTION("""COMPUTED_VALUE"""),45792.0)</f>
        <v>45792</v>
      </c>
      <c r="F1481" s="13">
        <f>IFERROR(__xludf.DUMMYFUNCTION("""COMPUTED_VALUE"""),45792.0)</f>
        <v>45792</v>
      </c>
      <c r="G1481" s="12"/>
      <c r="H1481" s="12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</row>
    <row r="1482">
      <c r="A1482" s="11" t="str">
        <f>IFERROR(__xludf.DUMMYFUNCTION("""COMPUTED_VALUE"""),"Zynex Inc  Com")</f>
        <v>Zynex Inc  Com</v>
      </c>
      <c r="B1482" s="12" t="str">
        <f>IFERROR(__xludf.DUMMYFUNCTION("""COMPUTED_VALUE"""),"ZYXI-US")</f>
        <v>ZYXI-US</v>
      </c>
      <c r="C1482" s="12"/>
      <c r="D1482" s="13">
        <f>IFERROR(__xludf.DUMMYFUNCTION("""COMPUTED_VALUE"""),45448.0)</f>
        <v>45448</v>
      </c>
      <c r="E1482" s="13">
        <f>IFERROR(__xludf.DUMMYFUNCTION("""COMPUTED_VALUE"""),45792.0)</f>
        <v>45792</v>
      </c>
      <c r="F1482" s="13">
        <f>IFERROR(__xludf.DUMMYFUNCTION("""COMPUTED_VALUE"""),45792.0)</f>
        <v>45792</v>
      </c>
      <c r="G1482" s="12"/>
      <c r="H1482" s="12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</row>
    <row r="1483">
      <c r="A1483" s="11" t="str">
        <f>IFERROR(__xludf.DUMMYFUNCTION("""COMPUTED_VALUE"""),"Pulmonx Corp  Com")</f>
        <v>Pulmonx Corp  Com</v>
      </c>
      <c r="B1483" s="12" t="str">
        <f>IFERROR(__xludf.DUMMYFUNCTION("""COMPUTED_VALUE"""),"LUNG-US")</f>
        <v>LUNG-US</v>
      </c>
      <c r="C1483" s="12"/>
      <c r="D1483" s="13">
        <f>IFERROR(__xludf.DUMMYFUNCTION("""COMPUTED_VALUE"""),45448.0)</f>
        <v>45448</v>
      </c>
      <c r="E1483" s="13">
        <f>IFERROR(__xludf.DUMMYFUNCTION("""COMPUTED_VALUE"""),45799.0)</f>
        <v>45799</v>
      </c>
      <c r="F1483" s="13">
        <f>IFERROR(__xludf.DUMMYFUNCTION("""COMPUTED_VALUE"""),45799.0)</f>
        <v>45799</v>
      </c>
      <c r="G1483" s="12"/>
      <c r="H1483" s="12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</row>
    <row r="1484">
      <c r="A1484" s="11" t="str">
        <f>IFERROR(__xludf.DUMMYFUNCTION("""COMPUTED_VALUE"""),"Corbus Pharmaceuticals Holdings  Com")</f>
        <v>Corbus Pharmaceuticals Holdings  Com</v>
      </c>
      <c r="B1484" s="12" t="str">
        <f>IFERROR(__xludf.DUMMYFUNCTION("""COMPUTED_VALUE"""),"CRBP-US")</f>
        <v>CRBP-US</v>
      </c>
      <c r="C1484" s="12"/>
      <c r="D1484" s="13">
        <f>IFERROR(__xludf.DUMMYFUNCTION("""COMPUTED_VALUE"""),45448.0)</f>
        <v>45448</v>
      </c>
      <c r="E1484" s="13">
        <f>IFERROR(__xludf.DUMMYFUNCTION("""COMPUTED_VALUE"""),45792.0)</f>
        <v>45792</v>
      </c>
      <c r="F1484" s="13">
        <f>IFERROR(__xludf.DUMMYFUNCTION("""COMPUTED_VALUE"""),45792.0)</f>
        <v>45792</v>
      </c>
      <c r="G1484" s="12"/>
      <c r="H1484" s="12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</row>
    <row r="1485">
      <c r="A1485" s="11" t="str">
        <f>IFERROR(__xludf.DUMMYFUNCTION("""COMPUTED_VALUE"""),"Colony Bankcorp Inc  Com")</f>
        <v>Colony Bankcorp Inc  Com</v>
      </c>
      <c r="B1485" s="12" t="str">
        <f>IFERROR(__xludf.DUMMYFUNCTION("""COMPUTED_VALUE"""),"CBAN-US")</f>
        <v>CBAN-US</v>
      </c>
      <c r="C1485" s="12"/>
      <c r="D1485" s="13">
        <f>IFERROR(__xludf.DUMMYFUNCTION("""COMPUTED_VALUE"""),45448.0)</f>
        <v>45448</v>
      </c>
      <c r="E1485" s="13">
        <f>IFERROR(__xludf.DUMMYFUNCTION("""COMPUTED_VALUE"""),45799.0)</f>
        <v>45799</v>
      </c>
      <c r="F1485" s="13">
        <f>IFERROR(__xludf.DUMMYFUNCTION("""COMPUTED_VALUE"""),45799.0)</f>
        <v>45799</v>
      </c>
      <c r="G1485" s="12"/>
      <c r="H1485" s="12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</row>
    <row r="1486">
      <c r="A1486" s="11" t="str">
        <f>IFERROR(__xludf.DUMMYFUNCTION("""COMPUTED_VALUE"""),"Commercial Vehicle Group Inc  Com")</f>
        <v>Commercial Vehicle Group Inc  Com</v>
      </c>
      <c r="B1486" s="12" t="str">
        <f>IFERROR(__xludf.DUMMYFUNCTION("""COMPUTED_VALUE"""),"CVGI-US")</f>
        <v>CVGI-US</v>
      </c>
      <c r="C1486" s="12"/>
      <c r="D1486" s="13">
        <f>IFERROR(__xludf.DUMMYFUNCTION("""COMPUTED_VALUE"""),45448.0)</f>
        <v>45448</v>
      </c>
      <c r="E1486" s="13">
        <f>IFERROR(__xludf.DUMMYFUNCTION("""COMPUTED_VALUE"""),45792.0)</f>
        <v>45792</v>
      </c>
      <c r="F1486" s="13">
        <f>IFERROR(__xludf.DUMMYFUNCTION("""COMPUTED_VALUE"""),45792.0)</f>
        <v>45792</v>
      </c>
      <c r="G1486" s="12"/>
      <c r="H1486" s="12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</row>
    <row r="1487">
      <c r="A1487" s="11" t="str">
        <f>IFERROR(__xludf.DUMMYFUNCTION("""COMPUTED_VALUE"""),"Cooper Standard Hldgs Inc  Com")</f>
        <v>Cooper Standard Hldgs Inc  Com</v>
      </c>
      <c r="B1487" s="12" t="str">
        <f>IFERROR(__xludf.DUMMYFUNCTION("""COMPUTED_VALUE"""),"CPS-US")</f>
        <v>CPS-US</v>
      </c>
      <c r="C1487" s="12"/>
      <c r="D1487" s="13">
        <f>IFERROR(__xludf.DUMMYFUNCTION("""COMPUTED_VALUE"""),45448.0)</f>
        <v>45448</v>
      </c>
      <c r="E1487" s="13">
        <f>IFERROR(__xludf.DUMMYFUNCTION("""COMPUTED_VALUE"""),45792.0)</f>
        <v>45792</v>
      </c>
      <c r="F1487" s="13">
        <f>IFERROR(__xludf.DUMMYFUNCTION("""COMPUTED_VALUE"""),45792.0)</f>
        <v>45792</v>
      </c>
      <c r="G1487" s="12"/>
      <c r="H1487" s="12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</row>
    <row r="1488">
      <c r="A1488" s="11" t="str">
        <f>IFERROR(__xludf.DUMMYFUNCTION("""COMPUTED_VALUE"""),"Fiserv Inc  Com")</f>
        <v>Fiserv Inc  Com</v>
      </c>
      <c r="B1488" s="12" t="str">
        <f>IFERROR(__xludf.DUMMYFUNCTION("""COMPUTED_VALUE"""),"FI-US")</f>
        <v>FI-US</v>
      </c>
      <c r="C1488" s="12"/>
      <c r="D1488" s="13">
        <f>IFERROR(__xludf.DUMMYFUNCTION("""COMPUTED_VALUE"""),45448.0)</f>
        <v>45448</v>
      </c>
      <c r="E1488" s="13">
        <f>IFERROR(__xludf.DUMMYFUNCTION("""COMPUTED_VALUE"""),45791.0)</f>
        <v>45791</v>
      </c>
      <c r="F1488" s="13">
        <f>IFERROR(__xludf.DUMMYFUNCTION("""COMPUTED_VALUE"""),45791.0)</f>
        <v>45791</v>
      </c>
      <c r="G1488" s="12"/>
      <c r="H1488" s="12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</row>
    <row r="1489">
      <c r="A1489" s="11" t="str">
        <f>IFERROR(__xludf.DUMMYFUNCTION("""COMPUTED_VALUE"""),"Vertex Pharmaceuticals Inc  Com")</f>
        <v>Vertex Pharmaceuticals Inc  Com</v>
      </c>
      <c r="B1489" s="12" t="str">
        <f>IFERROR(__xludf.DUMMYFUNCTION("""COMPUTED_VALUE"""),"VRTX-US")</f>
        <v>VRTX-US</v>
      </c>
      <c r="C1489" s="12"/>
      <c r="D1489" s="13">
        <f>IFERROR(__xludf.DUMMYFUNCTION("""COMPUTED_VALUE"""),45448.0)</f>
        <v>45448</v>
      </c>
      <c r="E1489" s="13">
        <f>IFERROR(__xludf.DUMMYFUNCTION("""COMPUTED_VALUE"""),45791.0)</f>
        <v>45791</v>
      </c>
      <c r="F1489" s="13">
        <f>IFERROR(__xludf.DUMMYFUNCTION("""COMPUTED_VALUE"""),45791.0)</f>
        <v>45791</v>
      </c>
      <c r="G1489" s="12"/>
      <c r="H1489" s="12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</row>
    <row r="1490">
      <c r="A1490" s="11" t="str">
        <f>IFERROR(__xludf.DUMMYFUNCTION("""COMPUTED_VALUE"""),"Elevance Health Inc  Com")</f>
        <v>Elevance Health Inc  Com</v>
      </c>
      <c r="B1490" s="12" t="str">
        <f>IFERROR(__xludf.DUMMYFUNCTION("""COMPUTED_VALUE"""),"ELV-US")</f>
        <v>ELV-US</v>
      </c>
      <c r="C1490" s="12"/>
      <c r="D1490" s="13">
        <f>IFERROR(__xludf.DUMMYFUNCTION("""COMPUTED_VALUE"""),45448.0)</f>
        <v>45448</v>
      </c>
      <c r="E1490" s="13">
        <f>IFERROR(__xludf.DUMMYFUNCTION("""COMPUTED_VALUE"""),45791.0)</f>
        <v>45791</v>
      </c>
      <c r="F1490" s="13">
        <f>IFERROR(__xludf.DUMMYFUNCTION("""COMPUTED_VALUE"""),45791.0)</f>
        <v>45791</v>
      </c>
      <c r="G1490" s="12"/>
      <c r="H1490" s="12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</row>
    <row r="1491">
      <c r="A1491" s="11" t="str">
        <f>IFERROR(__xludf.DUMMYFUNCTION("""COMPUTED_VALUE"""),"Northrop Grumman Corp  Com")</f>
        <v>Northrop Grumman Corp  Com</v>
      </c>
      <c r="B1491" s="12" t="str">
        <f>IFERROR(__xludf.DUMMYFUNCTION("""COMPUTED_VALUE"""),"NOC-US")</f>
        <v>NOC-US</v>
      </c>
      <c r="C1491" s="12"/>
      <c r="D1491" s="13">
        <f>IFERROR(__xludf.DUMMYFUNCTION("""COMPUTED_VALUE"""),45448.0)</f>
        <v>45448</v>
      </c>
      <c r="E1491" s="13">
        <f>IFERROR(__xludf.DUMMYFUNCTION("""COMPUTED_VALUE"""),45798.0)</f>
        <v>45798</v>
      </c>
      <c r="F1491" s="13">
        <f>IFERROR(__xludf.DUMMYFUNCTION("""COMPUTED_VALUE"""),45798.0)</f>
        <v>45798</v>
      </c>
      <c r="G1491" s="12"/>
      <c r="H1491" s="12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</row>
    <row r="1492">
      <c r="A1492" s="11" t="str">
        <f>IFERROR(__xludf.DUMMYFUNCTION("""COMPUTED_VALUE"""),"Hilton Worldwide Holdings Inc  Com")</f>
        <v>Hilton Worldwide Holdings Inc  Com</v>
      </c>
      <c r="B1492" s="12" t="str">
        <f>IFERROR(__xludf.DUMMYFUNCTION("""COMPUTED_VALUE"""),"HLT-US")</f>
        <v>HLT-US</v>
      </c>
      <c r="C1492" s="12"/>
      <c r="D1492" s="13">
        <f>IFERROR(__xludf.DUMMYFUNCTION("""COMPUTED_VALUE"""),45448.0)</f>
        <v>45448</v>
      </c>
      <c r="E1492" s="13">
        <f>IFERROR(__xludf.DUMMYFUNCTION("""COMPUTED_VALUE"""),45791.0)</f>
        <v>45791</v>
      </c>
      <c r="F1492" s="13">
        <f>IFERROR(__xludf.DUMMYFUNCTION("""COMPUTED_VALUE"""),45791.0)</f>
        <v>45791</v>
      </c>
      <c r="G1492" s="12"/>
      <c r="H1492" s="12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</row>
    <row r="1493">
      <c r="A1493" s="11" t="str">
        <f>IFERROR(__xludf.DUMMYFUNCTION("""COMPUTED_VALUE"""),"Travelers Cos Inc  Cl A")</f>
        <v>Travelers Cos Inc  Cl A</v>
      </c>
      <c r="B1493" s="12" t="str">
        <f>IFERROR(__xludf.DUMMYFUNCTION("""COMPUTED_VALUE"""),"TRV-US")</f>
        <v>TRV-US</v>
      </c>
      <c r="C1493" s="12"/>
      <c r="D1493" s="13">
        <f>IFERROR(__xludf.DUMMYFUNCTION("""COMPUTED_VALUE"""),45448.0)</f>
        <v>45448</v>
      </c>
      <c r="E1493" s="13">
        <f>IFERROR(__xludf.DUMMYFUNCTION("""COMPUTED_VALUE"""),45798.0)</f>
        <v>45798</v>
      </c>
      <c r="F1493" s="13">
        <f>IFERROR(__xludf.DUMMYFUNCTION("""COMPUTED_VALUE"""),45798.0)</f>
        <v>45798</v>
      </c>
      <c r="G1493" s="12"/>
      <c r="H1493" s="12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</row>
    <row r="1494">
      <c r="A1494" s="11" t="str">
        <f>IFERROR(__xludf.DUMMYFUNCTION("""COMPUTED_VALUE"""),"Phillips 66  Com")</f>
        <v>Phillips 66  Com</v>
      </c>
      <c r="B1494" s="12" t="str">
        <f>IFERROR(__xludf.DUMMYFUNCTION("""COMPUTED_VALUE"""),"PSX-US")</f>
        <v>PSX-US</v>
      </c>
      <c r="C1494" s="12"/>
      <c r="D1494" s="13">
        <f>IFERROR(__xludf.DUMMYFUNCTION("""COMPUTED_VALUE"""),45448.0)</f>
        <v>45448</v>
      </c>
      <c r="E1494" s="13">
        <f>IFERROR(__xludf.DUMMYFUNCTION("""COMPUTED_VALUE"""),45798.0)</f>
        <v>45798</v>
      </c>
      <c r="F1494" s="13">
        <f>IFERROR(__xludf.DUMMYFUNCTION("""COMPUTED_VALUE"""),45798.0)</f>
        <v>45798</v>
      </c>
      <c r="G1494" s="12"/>
      <c r="H1494" s="12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</row>
    <row r="1495">
      <c r="A1495" s="11" t="str">
        <f>IFERROR(__xludf.DUMMYFUNCTION("""COMPUTED_VALUE"""),"American International Group  Com")</f>
        <v>American International Group  Com</v>
      </c>
      <c r="B1495" s="12" t="str">
        <f>IFERROR(__xludf.DUMMYFUNCTION("""COMPUTED_VALUE"""),"AIG-US")</f>
        <v>AIG-US</v>
      </c>
      <c r="C1495" s="12"/>
      <c r="D1495" s="13">
        <f>IFERROR(__xludf.DUMMYFUNCTION("""COMPUTED_VALUE"""),45448.0)</f>
        <v>45448</v>
      </c>
      <c r="E1495" s="13">
        <f>IFERROR(__xludf.DUMMYFUNCTION("""COMPUTED_VALUE"""),45791.0)</f>
        <v>45791</v>
      </c>
      <c r="F1495" s="13">
        <f>IFERROR(__xludf.DUMMYFUNCTION("""COMPUTED_VALUE"""),45791.0)</f>
        <v>45791</v>
      </c>
      <c r="G1495" s="12"/>
      <c r="H1495" s="12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</row>
    <row r="1496">
      <c r="A1496" s="11" t="str">
        <f>IFERROR(__xludf.DUMMYFUNCTION("""COMPUTED_VALUE"""),"Valero Energy Corp  Com")</f>
        <v>Valero Energy Corp  Com</v>
      </c>
      <c r="B1496" s="12" t="str">
        <f>IFERROR(__xludf.DUMMYFUNCTION("""COMPUTED_VALUE"""),"VLO-US")</f>
        <v>VLO-US</v>
      </c>
      <c r="C1496" s="12"/>
      <c r="D1496" s="13">
        <f>IFERROR(__xludf.DUMMYFUNCTION("""COMPUTED_VALUE"""),45448.0)</f>
        <v>45448</v>
      </c>
      <c r="E1496" s="13">
        <f>IFERROR(__xludf.DUMMYFUNCTION("""COMPUTED_VALUE"""),45783.0)</f>
        <v>45783</v>
      </c>
      <c r="F1496" s="13">
        <f>IFERROR(__xludf.DUMMYFUNCTION("""COMPUTED_VALUE"""),45783.0)</f>
        <v>45783</v>
      </c>
      <c r="G1496" s="12"/>
      <c r="H1496" s="12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</row>
    <row r="1497">
      <c r="A1497" s="11" t="str">
        <f>IFERROR(__xludf.DUMMYFUNCTION("""COMPUTED_VALUE"""),"Verisk Analytics Inc  Cl A")</f>
        <v>Verisk Analytics Inc  Cl A</v>
      </c>
      <c r="B1497" s="12" t="str">
        <f>IFERROR(__xludf.DUMMYFUNCTION("""COMPUTED_VALUE"""),"VRSK-US")</f>
        <v>VRSK-US</v>
      </c>
      <c r="C1497" s="12"/>
      <c r="D1497" s="13">
        <f>IFERROR(__xludf.DUMMYFUNCTION("""COMPUTED_VALUE"""),45448.0)</f>
        <v>45448</v>
      </c>
      <c r="E1497" s="13">
        <f>IFERROR(__xludf.DUMMYFUNCTION("""COMPUTED_VALUE"""),45797.0)</f>
        <v>45797</v>
      </c>
      <c r="F1497" s="13">
        <f>IFERROR(__xludf.DUMMYFUNCTION("""COMPUTED_VALUE"""),45797.0)</f>
        <v>45797</v>
      </c>
      <c r="G1497" s="12"/>
      <c r="H1497" s="12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</row>
    <row r="1498">
      <c r="A1498" s="11" t="str">
        <f>IFERROR(__xludf.DUMMYFUNCTION("""COMPUTED_VALUE"""),"Hess Corp  Com")</f>
        <v>Hess Corp  Com</v>
      </c>
      <c r="B1498" s="12" t="str">
        <f>IFERROR(__xludf.DUMMYFUNCTION("""COMPUTED_VALUE"""),"HES-US")</f>
        <v>HES-US</v>
      </c>
      <c r="C1498" s="12"/>
      <c r="D1498" s="13">
        <f>IFERROR(__xludf.DUMMYFUNCTION("""COMPUTED_VALUE"""),45448.0)</f>
        <v>45448</v>
      </c>
      <c r="E1498" s="13">
        <f>IFERROR(__xludf.DUMMYFUNCTION("""COMPUTED_VALUE"""),45791.0)</f>
        <v>45791</v>
      </c>
      <c r="F1498" s="13">
        <f>IFERROR(__xludf.DUMMYFUNCTION("""COMPUTED_VALUE"""),45791.0)</f>
        <v>45791</v>
      </c>
      <c r="G1498" s="12"/>
      <c r="H1498" s="12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</row>
    <row r="1499">
      <c r="A1499" s="11" t="str">
        <f>IFERROR(__xludf.DUMMYFUNCTION("""COMPUTED_VALUE"""),"Old Dominion Freight Lines Inc  Com")</f>
        <v>Old Dominion Freight Lines Inc  Com</v>
      </c>
      <c r="B1499" s="12" t="str">
        <f>IFERROR(__xludf.DUMMYFUNCTION("""COMPUTED_VALUE"""),"ODFL-US")</f>
        <v>ODFL-US</v>
      </c>
      <c r="C1499" s="12"/>
      <c r="D1499" s="13">
        <f>IFERROR(__xludf.DUMMYFUNCTION("""COMPUTED_VALUE"""),45448.0)</f>
        <v>45448</v>
      </c>
      <c r="E1499" s="13">
        <f>IFERROR(__xludf.DUMMYFUNCTION("""COMPUTED_VALUE"""),45798.0)</f>
        <v>45798</v>
      </c>
      <c r="F1499" s="13">
        <f>IFERROR(__xludf.DUMMYFUNCTION("""COMPUTED_VALUE"""),45798.0)</f>
        <v>45798</v>
      </c>
      <c r="G1499" s="12"/>
      <c r="H1499" s="12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</row>
    <row r="1500">
      <c r="A1500" s="11" t="str">
        <f>IFERROR(__xludf.DUMMYFUNCTION("""COMPUTED_VALUE"""),"Hartford Financial Services Grp  Com")</f>
        <v>Hartford Financial Services Grp  Com</v>
      </c>
      <c r="B1500" s="12" t="str">
        <f>IFERROR(__xludf.DUMMYFUNCTION("""COMPUTED_VALUE"""),"HIG-US")</f>
        <v>HIG-US</v>
      </c>
      <c r="C1500" s="12"/>
      <c r="D1500" s="13">
        <f>IFERROR(__xludf.DUMMYFUNCTION("""COMPUTED_VALUE"""),45448.0)</f>
        <v>45448</v>
      </c>
      <c r="E1500" s="13">
        <f>IFERROR(__xludf.DUMMYFUNCTION("""COMPUTED_VALUE"""),45798.0)</f>
        <v>45798</v>
      </c>
      <c r="F1500" s="13">
        <f>IFERROR(__xludf.DUMMYFUNCTION("""COMPUTED_VALUE"""),45798.0)</f>
        <v>45798</v>
      </c>
      <c r="G1500" s="12"/>
      <c r="H1500" s="12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</row>
    <row r="1501">
      <c r="A1501" s="11" t="str">
        <f>IFERROR(__xludf.DUMMYFUNCTION("""COMPUTED_VALUE"""),"Alnylam Pharmaceuticals Inc  Com")</f>
        <v>Alnylam Pharmaceuticals Inc  Com</v>
      </c>
      <c r="B1501" s="12" t="str">
        <f>IFERROR(__xludf.DUMMYFUNCTION("""COMPUTED_VALUE"""),"ALNY-US")</f>
        <v>ALNY-US</v>
      </c>
      <c r="C1501" s="12"/>
      <c r="D1501" s="13">
        <f>IFERROR(__xludf.DUMMYFUNCTION("""COMPUTED_VALUE"""),45448.0)</f>
        <v>45448</v>
      </c>
      <c r="E1501" s="13">
        <f>IFERROR(__xludf.DUMMYFUNCTION("""COMPUTED_VALUE"""),45785.0)</f>
        <v>45785</v>
      </c>
      <c r="F1501" s="13">
        <f>IFERROR(__xludf.DUMMYFUNCTION("""COMPUTED_VALUE"""),45785.0)</f>
        <v>45785</v>
      </c>
      <c r="G1501" s="12"/>
      <c r="H1501" s="12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</row>
    <row r="1502">
      <c r="A1502" s="11" t="str">
        <f>IFERROR(__xludf.DUMMYFUNCTION("""COMPUTED_VALUE"""),"State Street Corp  Com")</f>
        <v>State Street Corp  Com</v>
      </c>
      <c r="B1502" s="12" t="str">
        <f>IFERROR(__xludf.DUMMYFUNCTION("""COMPUTED_VALUE"""),"STT-US")</f>
        <v>STT-US</v>
      </c>
      <c r="C1502" s="12"/>
      <c r="D1502" s="13">
        <f>IFERROR(__xludf.DUMMYFUNCTION("""COMPUTED_VALUE"""),45448.0)</f>
        <v>45448</v>
      </c>
      <c r="E1502" s="13">
        <f>IFERROR(__xludf.DUMMYFUNCTION("""COMPUTED_VALUE"""),45791.0)</f>
        <v>45791</v>
      </c>
      <c r="F1502" s="13">
        <f>IFERROR(__xludf.DUMMYFUNCTION("""COMPUTED_VALUE"""),45791.0)</f>
        <v>45791</v>
      </c>
      <c r="G1502" s="12"/>
      <c r="H1502" s="12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</row>
    <row r="1503">
      <c r="A1503" s="11" t="str">
        <f>IFERROR(__xludf.DUMMYFUNCTION("""COMPUTED_VALUE"""),"Halliburton Co  Com")</f>
        <v>Halliburton Co  Com</v>
      </c>
      <c r="B1503" s="12" t="str">
        <f>IFERROR(__xludf.DUMMYFUNCTION("""COMPUTED_VALUE"""),"HAL-US")</f>
        <v>HAL-US</v>
      </c>
      <c r="C1503" s="12"/>
      <c r="D1503" s="13">
        <f>IFERROR(__xludf.DUMMYFUNCTION("""COMPUTED_VALUE"""),45448.0)</f>
        <v>45448</v>
      </c>
      <c r="E1503" s="13">
        <f>IFERROR(__xludf.DUMMYFUNCTION("""COMPUTED_VALUE"""),45798.0)</f>
        <v>45798</v>
      </c>
      <c r="F1503" s="13">
        <f>IFERROR(__xludf.DUMMYFUNCTION("""COMPUTED_VALUE"""),45798.0)</f>
        <v>45798</v>
      </c>
      <c r="G1503" s="12"/>
      <c r="H1503" s="12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</row>
    <row r="1504">
      <c r="A1504" s="11" t="str">
        <f>IFERROR(__xludf.DUMMYFUNCTION("""COMPUTED_VALUE"""),"American Water Works Co Inc  Com")</f>
        <v>American Water Works Co Inc  Com</v>
      </c>
      <c r="B1504" s="12" t="str">
        <f>IFERROR(__xludf.DUMMYFUNCTION("""COMPUTED_VALUE"""),"AWK-US")</f>
        <v>AWK-US</v>
      </c>
      <c r="C1504" s="12"/>
      <c r="D1504" s="13">
        <f>IFERROR(__xludf.DUMMYFUNCTION("""COMPUTED_VALUE"""),45448.0)</f>
        <v>45448</v>
      </c>
      <c r="E1504" s="13">
        <f>IFERROR(__xludf.DUMMYFUNCTION("""COMPUTED_VALUE"""),45791.0)</f>
        <v>45791</v>
      </c>
      <c r="F1504" s="13">
        <f>IFERROR(__xludf.DUMMYFUNCTION("""COMPUTED_VALUE"""),45791.0)</f>
        <v>45791</v>
      </c>
      <c r="G1504" s="12"/>
      <c r="H1504" s="12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</row>
    <row r="1505">
      <c r="A1505" s="11" t="str">
        <f>IFERROR(__xludf.DUMMYFUNCTION("""COMPUTED_VALUE"""),"Ppl Corp  Com")</f>
        <v>Ppl Corp  Com</v>
      </c>
      <c r="B1505" s="12" t="str">
        <f>IFERROR(__xludf.DUMMYFUNCTION("""COMPUTED_VALUE"""),"PPL-US")</f>
        <v>PPL-US</v>
      </c>
      <c r="C1505" s="12"/>
      <c r="D1505" s="13">
        <f>IFERROR(__xludf.DUMMYFUNCTION("""COMPUTED_VALUE"""),45448.0)</f>
        <v>45448</v>
      </c>
      <c r="E1505" s="13">
        <f>IFERROR(__xludf.DUMMYFUNCTION("""COMPUTED_VALUE"""),45793.0)</f>
        <v>45793</v>
      </c>
      <c r="F1505" s="13">
        <f>IFERROR(__xludf.DUMMYFUNCTION("""COMPUTED_VALUE"""),45793.0)</f>
        <v>45793</v>
      </c>
      <c r="G1505" s="12"/>
      <c r="H1505" s="12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</row>
    <row r="1506">
      <c r="A1506" s="11" t="str">
        <f>IFERROR(__xludf.DUMMYFUNCTION("""COMPUTED_VALUE"""),"Southwest Airlines Co  Com")</f>
        <v>Southwest Airlines Co  Com</v>
      </c>
      <c r="B1506" s="12" t="str">
        <f>IFERROR(__xludf.DUMMYFUNCTION("""COMPUTED_VALUE"""),"LUV-US")</f>
        <v>LUV-US</v>
      </c>
      <c r="C1506" s="12"/>
      <c r="D1506" s="13">
        <f>IFERROR(__xludf.DUMMYFUNCTION("""COMPUTED_VALUE"""),45448.0)</f>
        <v>45448</v>
      </c>
      <c r="E1506" s="13">
        <f>IFERROR(__xludf.DUMMYFUNCTION("""COMPUTED_VALUE"""),45791.0)</f>
        <v>45791</v>
      </c>
      <c r="F1506" s="13">
        <f>IFERROR(__xludf.DUMMYFUNCTION("""COMPUTED_VALUE"""),45791.0)</f>
        <v>45791</v>
      </c>
      <c r="G1506" s="12"/>
      <c r="H1506" s="12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</row>
    <row r="1507">
      <c r="A1507" s="11" t="str">
        <f>IFERROR(__xludf.DUMMYFUNCTION("""COMPUTED_VALUE"""),"Invitation Homes Inc  Com")</f>
        <v>Invitation Homes Inc  Com</v>
      </c>
      <c r="B1507" s="12" t="str">
        <f>IFERROR(__xludf.DUMMYFUNCTION("""COMPUTED_VALUE"""),"INVH-US")</f>
        <v>INVH-US</v>
      </c>
      <c r="C1507" s="12"/>
      <c r="D1507" s="13">
        <f>IFERROR(__xludf.DUMMYFUNCTION("""COMPUTED_VALUE"""),45448.0)</f>
        <v>45448</v>
      </c>
      <c r="E1507" s="13">
        <f>IFERROR(__xludf.DUMMYFUNCTION("""COMPUTED_VALUE"""),45792.0)</f>
        <v>45792</v>
      </c>
      <c r="F1507" s="13">
        <f>IFERROR(__xludf.DUMMYFUNCTION("""COMPUTED_VALUE"""),45792.0)</f>
        <v>45792</v>
      </c>
      <c r="G1507" s="12"/>
      <c r="H1507" s="12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</row>
    <row r="1508">
      <c r="A1508" s="11" t="str">
        <f>IFERROR(__xludf.DUMMYFUNCTION("""COMPUTED_VALUE"""),"Everest Grou Ltd  Com")</f>
        <v>Everest Grou Ltd  Com</v>
      </c>
      <c r="B1508" s="12" t="str">
        <f>IFERROR(__xludf.DUMMYFUNCTION("""COMPUTED_VALUE"""),"EG-US")</f>
        <v>EG-US</v>
      </c>
      <c r="C1508" s="12"/>
      <c r="D1508" s="13">
        <f>IFERROR(__xludf.DUMMYFUNCTION("""COMPUTED_VALUE"""),45448.0)</f>
        <v>45448</v>
      </c>
      <c r="E1508" s="13">
        <f>IFERROR(__xludf.DUMMYFUNCTION("""COMPUTED_VALUE"""),45791.0)</f>
        <v>45791</v>
      </c>
      <c r="F1508" s="13">
        <f>IFERROR(__xludf.DUMMYFUNCTION("""COMPUTED_VALUE"""),45791.0)</f>
        <v>45791</v>
      </c>
      <c r="G1508" s="12"/>
      <c r="H1508" s="12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</row>
    <row r="1509">
      <c r="A1509" s="11" t="str">
        <f>IFERROR(__xludf.DUMMYFUNCTION("""COMPUTED_VALUE"""),"Us Foods Holding Corp  Com")</f>
        <v>Us Foods Holding Corp  Com</v>
      </c>
      <c r="B1509" s="12" t="str">
        <f>IFERROR(__xludf.DUMMYFUNCTION("""COMPUTED_VALUE"""),"USFD-US")</f>
        <v>USFD-US</v>
      </c>
      <c r="C1509" s="12"/>
      <c r="D1509" s="13">
        <f>IFERROR(__xludf.DUMMYFUNCTION("""COMPUTED_VALUE"""),45448.0)</f>
        <v>45448</v>
      </c>
      <c r="E1509" s="13">
        <f>IFERROR(__xludf.DUMMYFUNCTION("""COMPUTED_VALUE"""),45799.0)</f>
        <v>45799</v>
      </c>
      <c r="F1509" s="13">
        <f>IFERROR(__xludf.DUMMYFUNCTION("""COMPUTED_VALUE"""),45799.0)</f>
        <v>45799</v>
      </c>
      <c r="G1509" s="12"/>
      <c r="H1509" s="12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</row>
    <row r="1510">
      <c r="A1510" s="11" t="str">
        <f>IFERROR(__xludf.DUMMYFUNCTION("""COMPUTED_VALUE"""),"Reliance Inc  Com")</f>
        <v>Reliance Inc  Com</v>
      </c>
      <c r="B1510" s="12" t="str">
        <f>IFERROR(__xludf.DUMMYFUNCTION("""COMPUTED_VALUE"""),"RS-US")</f>
        <v>RS-US</v>
      </c>
      <c r="C1510" s="12"/>
      <c r="D1510" s="13">
        <f>IFERROR(__xludf.DUMMYFUNCTION("""COMPUTED_VALUE"""),45448.0)</f>
        <v>45448</v>
      </c>
      <c r="E1510" s="13">
        <f>IFERROR(__xludf.DUMMYFUNCTION("""COMPUTED_VALUE"""),45798.0)</f>
        <v>45798</v>
      </c>
      <c r="F1510" s="13">
        <f>IFERROR(__xludf.DUMMYFUNCTION("""COMPUTED_VALUE"""),45798.0)</f>
        <v>45798</v>
      </c>
      <c r="G1510" s="12"/>
      <c r="H1510" s="12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</row>
    <row r="1511">
      <c r="A1511" s="11" t="str">
        <f>IFERROR(__xludf.DUMMYFUNCTION("""COMPUTED_VALUE"""),"Host Hotels &amp; Resorts (Marriott) Com")</f>
        <v>Host Hotels &amp; Resorts (Marriott) Com</v>
      </c>
      <c r="B1511" s="12" t="str">
        <f>IFERROR(__xludf.DUMMYFUNCTION("""COMPUTED_VALUE"""),"HST-US")</f>
        <v>HST-US</v>
      </c>
      <c r="C1511" s="12"/>
      <c r="D1511" s="13">
        <f>IFERROR(__xludf.DUMMYFUNCTION("""COMPUTED_VALUE"""),45448.0)</f>
        <v>45448</v>
      </c>
      <c r="E1511" s="13">
        <f>IFERROR(__xludf.DUMMYFUNCTION("""COMPUTED_VALUE"""),45791.0)</f>
        <v>45791</v>
      </c>
      <c r="F1511" s="13">
        <f>IFERROR(__xludf.DUMMYFUNCTION("""COMPUTED_VALUE"""),45791.0)</f>
        <v>45791</v>
      </c>
      <c r="G1511" s="12"/>
      <c r="H1511" s="12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</row>
    <row r="1512">
      <c r="A1512" s="11" t="str">
        <f>IFERROR(__xludf.DUMMYFUNCTION("""COMPUTED_VALUE"""),"Itt Inc  Com")</f>
        <v>Itt Inc  Com</v>
      </c>
      <c r="B1512" s="12" t="str">
        <f>IFERROR(__xludf.DUMMYFUNCTION("""COMPUTED_VALUE"""),"ITT-US")</f>
        <v>ITT-US</v>
      </c>
      <c r="C1512" s="12"/>
      <c r="D1512" s="13">
        <f>IFERROR(__xludf.DUMMYFUNCTION("""COMPUTED_VALUE"""),45448.0)</f>
        <v>45448</v>
      </c>
      <c r="E1512" s="13">
        <f>IFERROR(__xludf.DUMMYFUNCTION("""COMPUTED_VALUE"""),45798.0)</f>
        <v>45798</v>
      </c>
      <c r="F1512" s="13">
        <f>IFERROR(__xludf.DUMMYFUNCTION("""COMPUTED_VALUE"""),45798.0)</f>
        <v>45798</v>
      </c>
      <c r="G1512" s="12"/>
      <c r="H1512" s="12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</row>
    <row r="1513">
      <c r="A1513" s="11" t="str">
        <f>IFERROR(__xludf.DUMMYFUNCTION("""COMPUTED_VALUE"""),"Annaly Capital Management Inc  Com")</f>
        <v>Annaly Capital Management Inc  Com</v>
      </c>
      <c r="B1513" s="12" t="str">
        <f>IFERROR(__xludf.DUMMYFUNCTION("""COMPUTED_VALUE"""),"NLY-US")</f>
        <v>NLY-US</v>
      </c>
      <c r="C1513" s="12"/>
      <c r="D1513" s="13">
        <f>IFERROR(__xludf.DUMMYFUNCTION("""COMPUTED_VALUE"""),45448.0)</f>
        <v>45448</v>
      </c>
      <c r="E1513" s="13">
        <f>IFERROR(__xludf.DUMMYFUNCTION("""COMPUTED_VALUE"""),45791.0)</f>
        <v>45791</v>
      </c>
      <c r="F1513" s="13">
        <f>IFERROR(__xludf.DUMMYFUNCTION("""COMPUTED_VALUE"""),45791.0)</f>
        <v>45791</v>
      </c>
      <c r="G1513" s="12"/>
      <c r="H1513" s="12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</row>
    <row r="1514">
      <c r="A1514" s="11" t="str">
        <f>IFERROR(__xludf.DUMMYFUNCTION("""COMPUTED_VALUE"""),"Universal Health Services Inc  Cl B")</f>
        <v>Universal Health Services Inc  Cl B</v>
      </c>
      <c r="B1514" s="12" t="str">
        <f>IFERROR(__xludf.DUMMYFUNCTION("""COMPUTED_VALUE"""),"UHS-US")</f>
        <v>UHS-US</v>
      </c>
      <c r="C1514" s="12"/>
      <c r="D1514" s="13">
        <f>IFERROR(__xludf.DUMMYFUNCTION("""COMPUTED_VALUE"""),45448.0)</f>
        <v>45448</v>
      </c>
      <c r="E1514" s="13">
        <f>IFERROR(__xludf.DUMMYFUNCTION("""COMPUTED_VALUE"""),45791.0)</f>
        <v>45791</v>
      </c>
      <c r="F1514" s="13">
        <f>IFERROR(__xludf.DUMMYFUNCTION("""COMPUTED_VALUE"""),45791.0)</f>
        <v>45791</v>
      </c>
      <c r="G1514" s="12"/>
      <c r="H1514" s="12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</row>
    <row r="1515">
      <c r="A1515" s="11" t="str">
        <f>IFERROR(__xludf.DUMMYFUNCTION("""COMPUTED_VALUE"""),"Molson Coors Beverage Co  Cl B")</f>
        <v>Molson Coors Beverage Co  Cl B</v>
      </c>
      <c r="B1515" s="12" t="str">
        <f>IFERROR(__xludf.DUMMYFUNCTION("""COMPUTED_VALUE"""),"TAP-US")</f>
        <v>TAP-US</v>
      </c>
      <c r="C1515" s="12"/>
      <c r="D1515" s="13">
        <f>IFERROR(__xludf.DUMMYFUNCTION("""COMPUTED_VALUE"""),45448.0)</f>
        <v>45448</v>
      </c>
      <c r="E1515" s="13">
        <f>IFERROR(__xludf.DUMMYFUNCTION("""COMPUTED_VALUE"""),45791.0)</f>
        <v>45791</v>
      </c>
      <c r="F1515" s="13">
        <f>IFERROR(__xludf.DUMMYFUNCTION("""COMPUTED_VALUE"""),45791.0)</f>
        <v>45791</v>
      </c>
      <c r="G1515" s="12"/>
      <c r="H1515" s="12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</row>
    <row r="1516">
      <c r="A1516" s="11" t="str">
        <f>IFERROR(__xludf.DUMMYFUNCTION("""COMPUTED_VALUE"""),"Enphase Energy Inc  Com")</f>
        <v>Enphase Energy Inc  Com</v>
      </c>
      <c r="B1516" s="12" t="str">
        <f>IFERROR(__xludf.DUMMYFUNCTION("""COMPUTED_VALUE"""),"ENPH-US")</f>
        <v>ENPH-US</v>
      </c>
      <c r="C1516" s="12"/>
      <c r="D1516" s="13">
        <f>IFERROR(__xludf.DUMMYFUNCTION("""COMPUTED_VALUE"""),45448.0)</f>
        <v>45448</v>
      </c>
      <c r="E1516" s="13">
        <f>IFERROR(__xludf.DUMMYFUNCTION("""COMPUTED_VALUE"""),45791.0)</f>
        <v>45791</v>
      </c>
      <c r="F1516" s="13">
        <f>IFERROR(__xludf.DUMMYFUNCTION("""COMPUTED_VALUE"""),45791.0)</f>
        <v>45791</v>
      </c>
      <c r="G1516" s="12"/>
      <c r="H1516" s="12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</row>
    <row r="1517">
      <c r="A1517" s="11" t="str">
        <f>IFERROR(__xludf.DUMMYFUNCTION("""COMPUTED_VALUE"""),"Ingredion Inc  Com")</f>
        <v>Ingredion Inc  Com</v>
      </c>
      <c r="B1517" s="12" t="str">
        <f>IFERROR(__xludf.DUMMYFUNCTION("""COMPUTED_VALUE"""),"INGR-US")</f>
        <v>INGR-US</v>
      </c>
      <c r="C1517" s="12"/>
      <c r="D1517" s="13">
        <f>IFERROR(__xludf.DUMMYFUNCTION("""COMPUTED_VALUE"""),45448.0)</f>
        <v>45448</v>
      </c>
      <c r="E1517" s="13">
        <f>IFERROR(__xludf.DUMMYFUNCTION("""COMPUTED_VALUE"""),45798.0)</f>
        <v>45798</v>
      </c>
      <c r="F1517" s="13">
        <f>IFERROR(__xludf.DUMMYFUNCTION("""COMPUTED_VALUE"""),45798.0)</f>
        <v>45798</v>
      </c>
      <c r="G1517" s="12"/>
      <c r="H1517" s="12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</row>
    <row r="1518">
      <c r="A1518" s="11" t="str">
        <f>IFERROR(__xludf.DUMMYFUNCTION("""COMPUTED_VALUE"""),"Frontier Communications Parent  Com")</f>
        <v>Frontier Communications Parent  Com</v>
      </c>
      <c r="B1518" s="12" t="str">
        <f>IFERROR(__xludf.DUMMYFUNCTION("""COMPUTED_VALUE"""),"FYBR-US")</f>
        <v>FYBR-US</v>
      </c>
      <c r="C1518" s="12"/>
      <c r="D1518" s="13">
        <f>IFERROR(__xludf.DUMMYFUNCTION("""COMPUTED_VALUE"""),45448.0)</f>
        <v>45448</v>
      </c>
      <c r="E1518" s="13">
        <f>IFERROR(__xludf.DUMMYFUNCTION("""COMPUTED_VALUE"""),45798.0)</f>
        <v>45798</v>
      </c>
      <c r="F1518" s="13">
        <f>IFERROR(__xludf.DUMMYFUNCTION("""COMPUTED_VALUE"""),45798.0)</f>
        <v>45798</v>
      </c>
      <c r="G1518" s="12"/>
      <c r="H1518" s="12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</row>
    <row r="1519">
      <c r="A1519" s="11" t="str">
        <f>IFERROR(__xludf.DUMMYFUNCTION("""COMPUTED_VALUE"""),"Kbr Inc  Com")</f>
        <v>Kbr Inc  Com</v>
      </c>
      <c r="B1519" s="12" t="str">
        <f>IFERROR(__xludf.DUMMYFUNCTION("""COMPUTED_VALUE"""),"KBR-US")</f>
        <v>KBR-US</v>
      </c>
      <c r="C1519" s="12"/>
      <c r="D1519" s="13">
        <f>IFERROR(__xludf.DUMMYFUNCTION("""COMPUTED_VALUE"""),45448.0)</f>
        <v>45448</v>
      </c>
      <c r="E1519" s="13">
        <f>IFERROR(__xludf.DUMMYFUNCTION("""COMPUTED_VALUE"""),45791.0)</f>
        <v>45791</v>
      </c>
      <c r="F1519" s="13">
        <f>IFERROR(__xludf.DUMMYFUNCTION("""COMPUTED_VALUE"""),45791.0)</f>
        <v>45791</v>
      </c>
      <c r="G1519" s="12"/>
      <c r="H1519" s="12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</row>
    <row r="1520">
      <c r="A1520" s="11" t="str">
        <f>IFERROR(__xludf.DUMMYFUNCTION("""COMPUTED_VALUE"""),"Robert Half Inc  Com")</f>
        <v>Robert Half Inc  Com</v>
      </c>
      <c r="B1520" s="12" t="str">
        <f>IFERROR(__xludf.DUMMYFUNCTION("""COMPUTED_VALUE"""),"RHI-US")</f>
        <v>RHI-US</v>
      </c>
      <c r="C1520" s="12"/>
      <c r="D1520" s="13">
        <f>IFERROR(__xludf.DUMMYFUNCTION("""COMPUTED_VALUE"""),45448.0)</f>
        <v>45448</v>
      </c>
      <c r="E1520" s="13">
        <f>IFERROR(__xludf.DUMMYFUNCTION("""COMPUTED_VALUE"""),45791.0)</f>
        <v>45791</v>
      </c>
      <c r="F1520" s="13">
        <f>IFERROR(__xludf.DUMMYFUNCTION("""COMPUTED_VALUE"""),45791.0)</f>
        <v>45791</v>
      </c>
      <c r="G1520" s="12"/>
      <c r="H1520" s="12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</row>
    <row r="1521">
      <c r="A1521" s="11" t="str">
        <f>IFERROR(__xludf.DUMMYFUNCTION("""COMPUTED_VALUE"""),"Nnn Reit (National Retail)  Ord")</f>
        <v>Nnn Reit (National Retail)  Ord</v>
      </c>
      <c r="B1521" s="12" t="str">
        <f>IFERROR(__xludf.DUMMYFUNCTION("""COMPUTED_VALUE"""),"NNN-US")</f>
        <v>NNN-US</v>
      </c>
      <c r="C1521" s="12"/>
      <c r="D1521" s="13">
        <f>IFERROR(__xludf.DUMMYFUNCTION("""COMPUTED_VALUE"""),45448.0)</f>
        <v>45448</v>
      </c>
      <c r="E1521" s="13">
        <f>IFERROR(__xludf.DUMMYFUNCTION("""COMPUTED_VALUE"""),45790.0)</f>
        <v>45790</v>
      </c>
      <c r="F1521" s="13">
        <f>IFERROR(__xludf.DUMMYFUNCTION("""COMPUTED_VALUE"""),45790.0)</f>
        <v>45790</v>
      </c>
      <c r="G1521" s="12"/>
      <c r="H1521" s="12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</row>
    <row r="1522">
      <c r="A1522" s="11" t="str">
        <f>IFERROR(__xludf.DUMMYFUNCTION("""COMPUTED_VALUE"""),"Hyatt Hotels Corp  Cl A")</f>
        <v>Hyatt Hotels Corp  Cl A</v>
      </c>
      <c r="B1522" s="12" t="str">
        <f>IFERROR(__xludf.DUMMYFUNCTION("""COMPUTED_VALUE"""),"H-US")</f>
        <v>H-US</v>
      </c>
      <c r="C1522" s="12"/>
      <c r="D1522" s="13">
        <f>IFERROR(__xludf.DUMMYFUNCTION("""COMPUTED_VALUE"""),45448.0)</f>
        <v>45448</v>
      </c>
      <c r="E1522" s="13">
        <f>IFERROR(__xludf.DUMMYFUNCTION("""COMPUTED_VALUE"""),45798.0)</f>
        <v>45798</v>
      </c>
      <c r="F1522" s="13">
        <f>IFERROR(__xludf.DUMMYFUNCTION("""COMPUTED_VALUE"""),45798.0)</f>
        <v>45798</v>
      </c>
      <c r="G1522" s="12"/>
      <c r="H1522" s="12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</row>
    <row r="1523">
      <c r="A1523" s="11" t="str">
        <f>IFERROR(__xludf.DUMMYFUNCTION("""COMPUTED_VALUE"""),"Old National Bancorp/In  Com")</f>
        <v>Old National Bancorp/In  Com</v>
      </c>
      <c r="B1523" s="12" t="str">
        <f>IFERROR(__xludf.DUMMYFUNCTION("""COMPUTED_VALUE"""),"ONB-US")</f>
        <v>ONB-US</v>
      </c>
      <c r="C1523" s="12"/>
      <c r="D1523" s="13">
        <f>IFERROR(__xludf.DUMMYFUNCTION("""COMPUTED_VALUE"""),45448.0)</f>
        <v>45448</v>
      </c>
      <c r="E1523" s="13">
        <f>IFERROR(__xludf.DUMMYFUNCTION("""COMPUTED_VALUE"""),45791.0)</f>
        <v>45791</v>
      </c>
      <c r="F1523" s="13">
        <f>IFERROR(__xludf.DUMMYFUNCTION("""COMPUTED_VALUE"""),45791.0)</f>
        <v>45791</v>
      </c>
      <c r="G1523" s="12"/>
      <c r="H1523" s="12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</row>
    <row r="1524">
      <c r="A1524" s="11" t="str">
        <f>IFERROR(__xludf.DUMMYFUNCTION("""COMPUTED_VALUE"""),"Lumen Technologies Inc  Com")</f>
        <v>Lumen Technologies Inc  Com</v>
      </c>
      <c r="B1524" s="12" t="str">
        <f>IFERROR(__xludf.DUMMYFUNCTION("""COMPUTED_VALUE"""),"LUMN-US")</f>
        <v>LUMN-US</v>
      </c>
      <c r="C1524" s="12"/>
      <c r="D1524" s="13">
        <f>IFERROR(__xludf.DUMMYFUNCTION("""COMPUTED_VALUE"""),45448.0)</f>
        <v>45448</v>
      </c>
      <c r="E1524" s="13">
        <f>IFERROR(__xludf.DUMMYFUNCTION("""COMPUTED_VALUE"""),45790.0)</f>
        <v>45790</v>
      </c>
      <c r="F1524" s="13">
        <f>IFERROR(__xludf.DUMMYFUNCTION("""COMPUTED_VALUE"""),45790.0)</f>
        <v>45790</v>
      </c>
      <c r="G1524" s="12"/>
      <c r="H1524" s="12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</row>
    <row r="1525">
      <c r="A1525" s="11" t="str">
        <f>IFERROR(__xludf.DUMMYFUNCTION("""COMPUTED_VALUE"""),"Nov Inc  Com")</f>
        <v>Nov Inc  Com</v>
      </c>
      <c r="B1525" s="12" t="str">
        <f>IFERROR(__xludf.DUMMYFUNCTION("""COMPUTED_VALUE"""),"NOV-US")</f>
        <v>NOV-US</v>
      </c>
      <c r="C1525" s="12"/>
      <c r="D1525" s="13">
        <f>IFERROR(__xludf.DUMMYFUNCTION("""COMPUTED_VALUE"""),45448.0)</f>
        <v>45448</v>
      </c>
      <c r="E1525" s="13">
        <f>IFERROR(__xludf.DUMMYFUNCTION("""COMPUTED_VALUE"""),45797.0)</f>
        <v>45797</v>
      </c>
      <c r="F1525" s="13">
        <f>IFERROR(__xludf.DUMMYFUNCTION("""COMPUTED_VALUE"""),45797.0)</f>
        <v>45797</v>
      </c>
      <c r="G1525" s="12"/>
      <c r="H1525" s="12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</row>
    <row r="1526">
      <c r="A1526" s="11" t="str">
        <f>IFERROR(__xludf.DUMMYFUNCTION("""COMPUTED_VALUE"""),"Merit Medical Systems Inc  Com")</f>
        <v>Merit Medical Systems Inc  Com</v>
      </c>
      <c r="B1526" s="12" t="str">
        <f>IFERROR(__xludf.DUMMYFUNCTION("""COMPUTED_VALUE"""),"MMSI-US")</f>
        <v>MMSI-US</v>
      </c>
      <c r="C1526" s="12"/>
      <c r="D1526" s="13">
        <f>IFERROR(__xludf.DUMMYFUNCTION("""COMPUTED_VALUE"""),45448.0)</f>
        <v>45448</v>
      </c>
      <c r="E1526" s="13">
        <f>IFERROR(__xludf.DUMMYFUNCTION("""COMPUTED_VALUE"""),45791.0)</f>
        <v>45791</v>
      </c>
      <c r="F1526" s="13">
        <f>IFERROR(__xludf.DUMMYFUNCTION("""COMPUTED_VALUE"""),45791.0)</f>
        <v>45791</v>
      </c>
      <c r="G1526" s="12"/>
      <c r="H1526" s="12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</row>
    <row r="1527">
      <c r="A1527" s="11" t="str">
        <f>IFERROR(__xludf.DUMMYFUNCTION("""COMPUTED_VALUE"""),"Cytokinetics Inc  Com")</f>
        <v>Cytokinetics Inc  Com</v>
      </c>
      <c r="B1527" s="12" t="str">
        <f>IFERROR(__xludf.DUMMYFUNCTION("""COMPUTED_VALUE"""),"CYTK-US")</f>
        <v>CYTK-US</v>
      </c>
      <c r="C1527" s="12"/>
      <c r="D1527" s="13">
        <f>IFERROR(__xludf.DUMMYFUNCTION("""COMPUTED_VALUE"""),45448.0)</f>
        <v>45448</v>
      </c>
      <c r="E1527" s="13">
        <f>IFERROR(__xludf.DUMMYFUNCTION("""COMPUTED_VALUE"""),45791.0)</f>
        <v>45791</v>
      </c>
      <c r="F1527" s="13">
        <f>IFERROR(__xludf.DUMMYFUNCTION("""COMPUTED_VALUE"""),45791.0)</f>
        <v>45791</v>
      </c>
      <c r="G1527" s="12"/>
      <c r="H1527" s="12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</row>
    <row r="1528">
      <c r="A1528" s="11" t="str">
        <f>IFERROR(__xludf.DUMMYFUNCTION("""COMPUTED_VALUE"""),"Group 1 Automotive Inc  Com")</f>
        <v>Group 1 Automotive Inc  Com</v>
      </c>
      <c r="B1528" s="12" t="str">
        <f>IFERROR(__xludf.DUMMYFUNCTION("""COMPUTED_VALUE"""),"GPI-US")</f>
        <v>GPI-US</v>
      </c>
      <c r="C1528" s="12"/>
      <c r="D1528" s="13">
        <f>IFERROR(__xludf.DUMMYFUNCTION("""COMPUTED_VALUE"""),45448.0)</f>
        <v>45448</v>
      </c>
      <c r="E1528" s="13">
        <f>IFERROR(__xludf.DUMMYFUNCTION("""COMPUTED_VALUE"""),45790.0)</f>
        <v>45790</v>
      </c>
      <c r="F1528" s="13">
        <f>IFERROR(__xludf.DUMMYFUNCTION("""COMPUTED_VALUE"""),45790.0)</f>
        <v>45790</v>
      </c>
      <c r="G1528" s="12"/>
      <c r="H1528" s="12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</row>
    <row r="1529">
      <c r="A1529" s="11" t="str">
        <f>IFERROR(__xludf.DUMMYFUNCTION("""COMPUTED_VALUE"""),"Championx Corp  Com")</f>
        <v>Championx Corp  Com</v>
      </c>
      <c r="B1529" s="12" t="str">
        <f>IFERROR(__xludf.DUMMYFUNCTION("""COMPUTED_VALUE"""),"CHX-US")</f>
        <v>CHX-US</v>
      </c>
      <c r="C1529" s="12"/>
      <c r="D1529" s="13">
        <f>IFERROR(__xludf.DUMMYFUNCTION("""COMPUTED_VALUE"""),45448.0)</f>
        <v>45448</v>
      </c>
      <c r="E1529" s="13">
        <f>IFERROR(__xludf.DUMMYFUNCTION("""COMPUTED_VALUE"""),45818.0)</f>
        <v>45818</v>
      </c>
      <c r="F1529" s="13">
        <f>IFERROR(__xludf.DUMMYFUNCTION("""COMPUTED_VALUE"""),45818.0)</f>
        <v>45818</v>
      </c>
      <c r="G1529" s="12"/>
      <c r="H1529" s="12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</row>
    <row r="1530">
      <c r="A1530" s="11" t="str">
        <f>IFERROR(__xludf.DUMMYFUNCTION("""COMPUTED_VALUE"""),"United Bankshares Inc Wva  Com")</f>
        <v>United Bankshares Inc Wva  Com</v>
      </c>
      <c r="B1530" s="12" t="str">
        <f>IFERROR(__xludf.DUMMYFUNCTION("""COMPUTED_VALUE"""),"UBSI-US")</f>
        <v>UBSI-US</v>
      </c>
      <c r="C1530" s="12"/>
      <c r="D1530" s="13">
        <f>IFERROR(__xludf.DUMMYFUNCTION("""COMPUTED_VALUE"""),45448.0)</f>
        <v>45448</v>
      </c>
      <c r="E1530" s="13">
        <f>IFERROR(__xludf.DUMMYFUNCTION("""COMPUTED_VALUE"""),45791.0)</f>
        <v>45791</v>
      </c>
      <c r="F1530" s="13">
        <f>IFERROR(__xludf.DUMMYFUNCTION("""COMPUTED_VALUE"""),45791.0)</f>
        <v>45791</v>
      </c>
      <c r="G1530" s="12"/>
      <c r="H1530" s="12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</row>
    <row r="1531">
      <c r="A1531" s="11" t="str">
        <f>IFERROR(__xludf.DUMMYFUNCTION("""COMPUTED_VALUE"""),"Kadant Inc  Com")</f>
        <v>Kadant Inc  Com</v>
      </c>
      <c r="B1531" s="12" t="str">
        <f>IFERROR(__xludf.DUMMYFUNCTION("""COMPUTED_VALUE"""),"KAI-US")</f>
        <v>KAI-US</v>
      </c>
      <c r="C1531" s="12"/>
      <c r="D1531" s="13">
        <f>IFERROR(__xludf.DUMMYFUNCTION("""COMPUTED_VALUE"""),45448.0)</f>
        <v>45448</v>
      </c>
      <c r="E1531" s="13">
        <f>IFERROR(__xludf.DUMMYFUNCTION("""COMPUTED_VALUE"""),45791.0)</f>
        <v>45791</v>
      </c>
      <c r="F1531" s="13">
        <f>IFERROR(__xludf.DUMMYFUNCTION("""COMPUTED_VALUE"""),45791.0)</f>
        <v>45791</v>
      </c>
      <c r="G1531" s="12"/>
      <c r="H1531" s="12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</row>
    <row r="1532">
      <c r="A1532" s="11" t="str">
        <f>IFERROR(__xludf.DUMMYFUNCTION("""COMPUTED_VALUE"""),"Independence Realty Trust Inc  Com")</f>
        <v>Independence Realty Trust Inc  Com</v>
      </c>
      <c r="B1532" s="12" t="str">
        <f>IFERROR(__xludf.DUMMYFUNCTION("""COMPUTED_VALUE"""),"IRT-US")</f>
        <v>IRT-US</v>
      </c>
      <c r="C1532" s="12"/>
      <c r="D1532" s="13">
        <f>IFERROR(__xludf.DUMMYFUNCTION("""COMPUTED_VALUE"""),45448.0)</f>
        <v>45448</v>
      </c>
      <c r="E1532" s="13">
        <f>IFERROR(__xludf.DUMMYFUNCTION("""COMPUTED_VALUE"""),45791.0)</f>
        <v>45791</v>
      </c>
      <c r="F1532" s="13">
        <f>IFERROR(__xludf.DUMMYFUNCTION("""COMPUTED_VALUE"""),45791.0)</f>
        <v>45791</v>
      </c>
      <c r="G1532" s="12"/>
      <c r="H1532" s="12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</row>
    <row r="1533">
      <c r="A1533" s="11" t="str">
        <f>IFERROR(__xludf.DUMMYFUNCTION("""COMPUTED_VALUE"""),"Option Care Health Inc  Com")</f>
        <v>Option Care Health Inc  Com</v>
      </c>
      <c r="B1533" s="12" t="str">
        <f>IFERROR(__xludf.DUMMYFUNCTION("""COMPUTED_VALUE"""),"OPCH-US")</f>
        <v>OPCH-US</v>
      </c>
      <c r="C1533" s="12"/>
      <c r="D1533" s="13">
        <f>IFERROR(__xludf.DUMMYFUNCTION("""COMPUTED_VALUE"""),45448.0)</f>
        <v>45448</v>
      </c>
      <c r="E1533" s="13">
        <f>IFERROR(__xludf.DUMMYFUNCTION("""COMPUTED_VALUE"""),45791.0)</f>
        <v>45791</v>
      </c>
      <c r="F1533" s="13">
        <f>IFERROR(__xludf.DUMMYFUNCTION("""COMPUTED_VALUE"""),45791.0)</f>
        <v>45791</v>
      </c>
      <c r="G1533" s="12"/>
      <c r="H1533" s="12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</row>
    <row r="1534">
      <c r="A1534" s="11" t="str">
        <f>IFERROR(__xludf.DUMMYFUNCTION("""COMPUTED_VALUE"""),"Icu Medical Inc  Com")</f>
        <v>Icu Medical Inc  Com</v>
      </c>
      <c r="B1534" s="12" t="str">
        <f>IFERROR(__xludf.DUMMYFUNCTION("""COMPUTED_VALUE"""),"ICUI-US")</f>
        <v>ICUI-US</v>
      </c>
      <c r="C1534" s="12"/>
      <c r="D1534" s="13">
        <f>IFERROR(__xludf.DUMMYFUNCTION("""COMPUTED_VALUE"""),45448.0)</f>
        <v>45448</v>
      </c>
      <c r="E1534" s="13">
        <f>IFERROR(__xludf.DUMMYFUNCTION("""COMPUTED_VALUE"""),45790.0)</f>
        <v>45790</v>
      </c>
      <c r="F1534" s="13">
        <f>IFERROR(__xludf.DUMMYFUNCTION("""COMPUTED_VALUE"""),45790.0)</f>
        <v>45790</v>
      </c>
      <c r="G1534" s="12"/>
      <c r="H1534" s="12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</row>
    <row r="1535">
      <c r="A1535" s="11" t="str">
        <f>IFERROR(__xludf.DUMMYFUNCTION("""COMPUTED_VALUE"""),"Travel Plus Leisure Co  Com")</f>
        <v>Travel Plus Leisure Co  Com</v>
      </c>
      <c r="B1535" s="12" t="str">
        <f>IFERROR(__xludf.DUMMYFUNCTION("""COMPUTED_VALUE"""),"TNL-US")</f>
        <v>TNL-US</v>
      </c>
      <c r="C1535" s="12"/>
      <c r="D1535" s="13">
        <f>IFERROR(__xludf.DUMMYFUNCTION("""COMPUTED_VALUE"""),45448.0)</f>
        <v>45448</v>
      </c>
      <c r="E1535" s="13">
        <f>IFERROR(__xludf.DUMMYFUNCTION("""COMPUTED_VALUE"""),45798.0)</f>
        <v>45798</v>
      </c>
      <c r="F1535" s="13">
        <f>IFERROR(__xludf.DUMMYFUNCTION("""COMPUTED_VALUE"""),45798.0)</f>
        <v>45798</v>
      </c>
      <c r="G1535" s="12"/>
      <c r="H1535" s="12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</row>
    <row r="1536">
      <c r="A1536" s="11" t="str">
        <f>IFERROR(__xludf.DUMMYFUNCTION("""COMPUTED_VALUE"""),"Cinemark Holdings Inc  Com")</f>
        <v>Cinemark Holdings Inc  Com</v>
      </c>
      <c r="B1536" s="12" t="str">
        <f>IFERROR(__xludf.DUMMYFUNCTION("""COMPUTED_VALUE"""),"CNK-US")</f>
        <v>CNK-US</v>
      </c>
      <c r="C1536" s="12"/>
      <c r="D1536" s="13">
        <f>IFERROR(__xludf.DUMMYFUNCTION("""COMPUTED_VALUE"""),45448.0)</f>
        <v>45448</v>
      </c>
      <c r="E1536" s="13">
        <f>IFERROR(__xludf.DUMMYFUNCTION("""COMPUTED_VALUE"""),45792.0)</f>
        <v>45792</v>
      </c>
      <c r="F1536" s="13">
        <f>IFERROR(__xludf.DUMMYFUNCTION("""COMPUTED_VALUE"""),45792.0)</f>
        <v>45792</v>
      </c>
      <c r="G1536" s="12"/>
      <c r="H1536" s="12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</row>
    <row r="1537">
      <c r="A1537" s="11" t="str">
        <f>IFERROR(__xludf.DUMMYFUNCTION("""COMPUTED_VALUE"""),"Zoominfo Technologies Inc  Com")</f>
        <v>Zoominfo Technologies Inc  Com</v>
      </c>
      <c r="B1537" s="12" t="str">
        <f>IFERROR(__xludf.DUMMYFUNCTION("""COMPUTED_VALUE"""),"ZI-US")</f>
        <v>ZI-US</v>
      </c>
      <c r="C1537" s="12"/>
      <c r="D1537" s="13">
        <f>IFERROR(__xludf.DUMMYFUNCTION("""COMPUTED_VALUE"""),45448.0)</f>
        <v>45448</v>
      </c>
      <c r="E1537" s="13">
        <f>IFERROR(__xludf.DUMMYFUNCTION("""COMPUTED_VALUE"""),45791.0)</f>
        <v>45791</v>
      </c>
      <c r="F1537" s="13">
        <f>IFERROR(__xludf.DUMMYFUNCTION("""COMPUTED_VALUE"""),45791.0)</f>
        <v>45791</v>
      </c>
      <c r="G1537" s="12"/>
      <c r="H1537" s="12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</row>
    <row r="1538">
      <c r="A1538" s="11" t="str">
        <f>IFERROR(__xludf.DUMMYFUNCTION("""COMPUTED_VALUE"""),"Community Financial System Inc  Com")</f>
        <v>Community Financial System Inc  Com</v>
      </c>
      <c r="B1538" s="12" t="str">
        <f>IFERROR(__xludf.DUMMYFUNCTION("""COMPUTED_VALUE"""),"CBU-US")</f>
        <v>CBU-US</v>
      </c>
      <c r="C1538" s="12"/>
      <c r="D1538" s="13">
        <f>IFERROR(__xludf.DUMMYFUNCTION("""COMPUTED_VALUE"""),45083.0)</f>
        <v>45083</v>
      </c>
      <c r="E1538" s="13">
        <f>IFERROR(__xludf.DUMMYFUNCTION("""COMPUTED_VALUE"""),45798.0)</f>
        <v>45798</v>
      </c>
      <c r="F1538" s="13">
        <f>IFERROR(__xludf.DUMMYFUNCTION("""COMPUTED_VALUE"""),45798.0)</f>
        <v>45798</v>
      </c>
      <c r="G1538" s="12"/>
      <c r="H1538" s="12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</row>
    <row r="1539">
      <c r="A1539" s="11" t="str">
        <f>IFERROR(__xludf.DUMMYFUNCTION("""COMPUTED_VALUE"""),"United Community Banks/Ga  Cap Stk")</f>
        <v>United Community Banks/Ga  Cap Stk</v>
      </c>
      <c r="B1539" s="12" t="str">
        <f>IFERROR(__xludf.DUMMYFUNCTION("""COMPUTED_VALUE"""),"UCB-US")</f>
        <v>UCB-US</v>
      </c>
      <c r="C1539" s="12"/>
      <c r="D1539" s="13">
        <f>IFERROR(__xludf.DUMMYFUNCTION("""COMPUTED_VALUE"""),45083.0)</f>
        <v>45083</v>
      </c>
      <c r="E1539" s="13">
        <f>IFERROR(__xludf.DUMMYFUNCTION("""COMPUTED_VALUE"""),45791.0)</f>
        <v>45791</v>
      </c>
      <c r="F1539" s="13">
        <f>IFERROR(__xludf.DUMMYFUNCTION("""COMPUTED_VALUE"""),45791.0)</f>
        <v>45791</v>
      </c>
      <c r="G1539" s="12"/>
      <c r="H1539" s="12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</row>
    <row r="1540">
      <c r="A1540" s="11" t="str">
        <f>IFERROR(__xludf.DUMMYFUNCTION("""COMPUTED_VALUE"""),"Bankunited Inc  Com")</f>
        <v>Bankunited Inc  Com</v>
      </c>
      <c r="B1540" s="12" t="str">
        <f>IFERROR(__xludf.DUMMYFUNCTION("""COMPUTED_VALUE"""),"BKU-US")</f>
        <v>BKU-US</v>
      </c>
      <c r="C1540" s="12"/>
      <c r="D1540" s="13">
        <f>IFERROR(__xludf.DUMMYFUNCTION("""COMPUTED_VALUE"""),45449.0)</f>
        <v>45449</v>
      </c>
      <c r="E1540" s="13">
        <f>IFERROR(__xludf.DUMMYFUNCTION("""COMPUTED_VALUE"""),45799.0)</f>
        <v>45799</v>
      </c>
      <c r="F1540" s="13">
        <f>IFERROR(__xludf.DUMMYFUNCTION("""COMPUTED_VALUE"""),45799.0)</f>
        <v>45799</v>
      </c>
      <c r="G1540" s="12"/>
      <c r="H1540" s="12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</row>
    <row r="1541">
      <c r="A1541" s="11" t="str">
        <f>IFERROR(__xludf.DUMMYFUNCTION("""COMPUTED_VALUE"""),"Cvb Financial Corp  Com")</f>
        <v>Cvb Financial Corp  Com</v>
      </c>
      <c r="B1541" s="12" t="str">
        <f>IFERROR(__xludf.DUMMYFUNCTION("""COMPUTED_VALUE"""),"CVBF-US")</f>
        <v>CVBF-US</v>
      </c>
      <c r="C1541" s="12"/>
      <c r="D1541" s="13">
        <f>IFERROR(__xludf.DUMMYFUNCTION("""COMPUTED_VALUE"""),45449.0)</f>
        <v>45449</v>
      </c>
      <c r="E1541" s="13">
        <f>IFERROR(__xludf.DUMMYFUNCTION("""COMPUTED_VALUE"""),45798.0)</f>
        <v>45798</v>
      </c>
      <c r="F1541" s="13">
        <f>IFERROR(__xludf.DUMMYFUNCTION("""COMPUTED_VALUE"""),45798.0)</f>
        <v>45798</v>
      </c>
      <c r="G1541" s="12"/>
      <c r="H1541" s="12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</row>
    <row r="1542">
      <c r="A1542" s="11" t="str">
        <f>IFERROR(__xludf.DUMMYFUNCTION("""COMPUTED_VALUE"""),"Leonardo Drs Inc  Com")</f>
        <v>Leonardo Drs Inc  Com</v>
      </c>
      <c r="B1542" s="12" t="str">
        <f>IFERROR(__xludf.DUMMYFUNCTION("""COMPUTED_VALUE"""),"DRS-US")</f>
        <v>DRS-US</v>
      </c>
      <c r="C1542" s="12"/>
      <c r="D1542" s="13">
        <f>IFERROR(__xludf.DUMMYFUNCTION("""COMPUTED_VALUE"""),45449.0)</f>
        <v>45449</v>
      </c>
      <c r="E1542" s="13">
        <f>IFERROR(__xludf.DUMMYFUNCTION("""COMPUTED_VALUE"""),45812.0)</f>
        <v>45812</v>
      </c>
      <c r="F1542" s="13">
        <f>IFERROR(__xludf.DUMMYFUNCTION("""COMPUTED_VALUE"""),45812.0)</f>
        <v>45812</v>
      </c>
      <c r="G1542" s="12"/>
      <c r="H1542" s="12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</row>
    <row r="1543">
      <c r="A1543" s="11" t="str">
        <f>IFERROR(__xludf.DUMMYFUNCTION("""COMPUTED_VALUE"""),"Minerals Technologies Inc  Com")</f>
        <v>Minerals Technologies Inc  Com</v>
      </c>
      <c r="B1543" s="12" t="str">
        <f>IFERROR(__xludf.DUMMYFUNCTION("""COMPUTED_VALUE"""),"MTX-US")</f>
        <v>MTX-US</v>
      </c>
      <c r="C1543" s="12"/>
      <c r="D1543" s="13">
        <f>IFERROR(__xludf.DUMMYFUNCTION("""COMPUTED_VALUE"""),45449.0)</f>
        <v>45449</v>
      </c>
      <c r="E1543" s="13">
        <f>IFERROR(__xludf.DUMMYFUNCTION("""COMPUTED_VALUE"""),45791.0)</f>
        <v>45791</v>
      </c>
      <c r="F1543" s="13">
        <f>IFERROR(__xludf.DUMMYFUNCTION("""COMPUTED_VALUE"""),45791.0)</f>
        <v>45791</v>
      </c>
      <c r="G1543" s="12"/>
      <c r="H1543" s="12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</row>
    <row r="1544">
      <c r="A1544" s="11" t="str">
        <f>IFERROR(__xludf.DUMMYFUNCTION("""COMPUTED_VALUE"""),"Innovative Indl Properties Inc  Cl A")</f>
        <v>Innovative Indl Properties Inc  Cl A</v>
      </c>
      <c r="B1544" s="12" t="str">
        <f>IFERROR(__xludf.DUMMYFUNCTION("""COMPUTED_VALUE"""),"IIPR-US")</f>
        <v>IIPR-US</v>
      </c>
      <c r="C1544" s="12"/>
      <c r="D1544" s="13">
        <f>IFERROR(__xludf.DUMMYFUNCTION("""COMPUTED_VALUE"""),45449.0)</f>
        <v>45449</v>
      </c>
      <c r="E1544" s="13">
        <f>IFERROR(__xludf.DUMMYFUNCTION("""COMPUTED_VALUE"""),45819.0)</f>
        <v>45819</v>
      </c>
      <c r="F1544" s="13">
        <f>IFERROR(__xludf.DUMMYFUNCTION("""COMPUTED_VALUE"""),45819.0)</f>
        <v>45819</v>
      </c>
      <c r="G1544" s="12"/>
      <c r="H1544" s="12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</row>
    <row r="1545">
      <c r="A1545" s="11" t="str">
        <f>IFERROR(__xludf.DUMMYFUNCTION("""COMPUTED_VALUE"""),"Mannkind Corp  Com")</f>
        <v>Mannkind Corp  Com</v>
      </c>
      <c r="B1545" s="12" t="str">
        <f>IFERROR(__xludf.DUMMYFUNCTION("""COMPUTED_VALUE"""),"MNKD-US")</f>
        <v>MNKD-US</v>
      </c>
      <c r="C1545" s="12"/>
      <c r="D1545" s="13">
        <f>IFERROR(__xludf.DUMMYFUNCTION("""COMPUTED_VALUE"""),45449.0)</f>
        <v>45449</v>
      </c>
      <c r="E1545" s="13">
        <f>IFERROR(__xludf.DUMMYFUNCTION("""COMPUTED_VALUE"""),45791.0)</f>
        <v>45791</v>
      </c>
      <c r="F1545" s="13">
        <f>IFERROR(__xludf.DUMMYFUNCTION("""COMPUTED_VALUE"""),45791.0)</f>
        <v>45791</v>
      </c>
      <c r="G1545" s="12"/>
      <c r="H1545" s="12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</row>
    <row r="1546">
      <c r="A1546" s="11" t="str">
        <f>IFERROR(__xludf.DUMMYFUNCTION("""COMPUTED_VALUE"""),"O I Glass Inc  Com")</f>
        <v>O I Glass Inc  Com</v>
      </c>
      <c r="B1546" s="12" t="str">
        <f>IFERROR(__xludf.DUMMYFUNCTION("""COMPUTED_VALUE"""),"OI-US")</f>
        <v>OI-US</v>
      </c>
      <c r="C1546" s="12"/>
      <c r="D1546" s="13">
        <f>IFERROR(__xludf.DUMMYFUNCTION("""COMPUTED_VALUE"""),45449.0)</f>
        <v>45449</v>
      </c>
      <c r="E1546" s="13">
        <f>IFERROR(__xludf.DUMMYFUNCTION("""COMPUTED_VALUE"""),45791.0)</f>
        <v>45791</v>
      </c>
      <c r="F1546" s="13">
        <f>IFERROR(__xludf.DUMMYFUNCTION("""COMPUTED_VALUE"""),45791.0)</f>
        <v>45791</v>
      </c>
      <c r="G1546" s="12"/>
      <c r="H1546" s="12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</row>
    <row r="1547">
      <c r="A1547" s="11" t="str">
        <f>IFERROR(__xludf.DUMMYFUNCTION("""COMPUTED_VALUE"""),"Prog Holdings Inc  Com")</f>
        <v>Prog Holdings Inc  Com</v>
      </c>
      <c r="B1547" s="12" t="str">
        <f>IFERROR(__xludf.DUMMYFUNCTION("""COMPUTED_VALUE"""),"PRG-US")</f>
        <v>PRG-US</v>
      </c>
      <c r="C1547" s="12"/>
      <c r="D1547" s="13">
        <f>IFERROR(__xludf.DUMMYFUNCTION("""COMPUTED_VALUE"""),45449.0)</f>
        <v>45449</v>
      </c>
      <c r="E1547" s="13">
        <f>IFERROR(__xludf.DUMMYFUNCTION("""COMPUTED_VALUE"""),45784.0)</f>
        <v>45784</v>
      </c>
      <c r="F1547" s="13">
        <f>IFERROR(__xludf.DUMMYFUNCTION("""COMPUTED_VALUE"""),45784.0)</f>
        <v>45784</v>
      </c>
      <c r="G1547" s="12"/>
      <c r="H1547" s="12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</row>
    <row r="1548">
      <c r="A1548" s="11" t="str">
        <f>IFERROR(__xludf.DUMMYFUNCTION("""COMPUTED_VALUE"""),"Alkami Technology Inc  Com")</f>
        <v>Alkami Technology Inc  Com</v>
      </c>
      <c r="B1548" s="12" t="str">
        <f>IFERROR(__xludf.DUMMYFUNCTION("""COMPUTED_VALUE"""),"ALKT-US")</f>
        <v>ALKT-US</v>
      </c>
      <c r="C1548" s="12"/>
      <c r="D1548" s="13">
        <f>IFERROR(__xludf.DUMMYFUNCTION("""COMPUTED_VALUE"""),45449.0)</f>
        <v>45449</v>
      </c>
      <c r="E1548" s="13">
        <f>IFERROR(__xludf.DUMMYFUNCTION("""COMPUTED_VALUE"""),45791.0)</f>
        <v>45791</v>
      </c>
      <c r="F1548" s="13">
        <f>IFERROR(__xludf.DUMMYFUNCTION("""COMPUTED_VALUE"""),45791.0)</f>
        <v>45791</v>
      </c>
      <c r="G1548" s="12"/>
      <c r="H1548" s="12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</row>
    <row r="1549">
      <c r="A1549" s="11" t="str">
        <f>IFERROR(__xludf.DUMMYFUNCTION("""COMPUTED_VALUE"""),"Vera Therapeutics Inc  Cl A")</f>
        <v>Vera Therapeutics Inc  Cl A</v>
      </c>
      <c r="B1549" s="12" t="str">
        <f>IFERROR(__xludf.DUMMYFUNCTION("""COMPUTED_VALUE"""),"VERA-US")</f>
        <v>VERA-US</v>
      </c>
      <c r="C1549" s="12"/>
      <c r="D1549" s="13">
        <f>IFERROR(__xludf.DUMMYFUNCTION("""COMPUTED_VALUE"""),45449.0)</f>
        <v>45449</v>
      </c>
      <c r="E1549" s="13">
        <f>IFERROR(__xludf.DUMMYFUNCTION("""COMPUTED_VALUE"""),45791.0)</f>
        <v>45791</v>
      </c>
      <c r="F1549" s="13">
        <f>IFERROR(__xludf.DUMMYFUNCTION("""COMPUTED_VALUE"""),45791.0)</f>
        <v>45791</v>
      </c>
      <c r="G1549" s="12"/>
      <c r="H1549" s="12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</row>
    <row r="1550">
      <c r="A1550" s="11" t="str">
        <f>IFERROR(__xludf.DUMMYFUNCTION("""COMPUTED_VALUE"""),"Kohls Corp  Com")</f>
        <v>Kohls Corp  Com</v>
      </c>
      <c r="B1550" s="12" t="str">
        <f>IFERROR(__xludf.DUMMYFUNCTION("""COMPUTED_VALUE"""),"KSS-US")</f>
        <v>KSS-US</v>
      </c>
      <c r="C1550" s="12"/>
      <c r="D1550" s="13">
        <f>IFERROR(__xludf.DUMMYFUNCTION("""COMPUTED_VALUE"""),45449.0)</f>
        <v>45449</v>
      </c>
      <c r="E1550" s="13">
        <f>IFERROR(__xludf.DUMMYFUNCTION("""COMPUTED_VALUE"""),45791.0)</f>
        <v>45791</v>
      </c>
      <c r="F1550" s="13">
        <f>IFERROR(__xludf.DUMMYFUNCTION("""COMPUTED_VALUE"""),45791.0)</f>
        <v>45791</v>
      </c>
      <c r="G1550" s="12"/>
      <c r="H1550" s="12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</row>
    <row r="1551">
      <c r="A1551" s="11" t="str">
        <f>IFERROR(__xludf.DUMMYFUNCTION("""COMPUTED_VALUE"""),"Csg Systems International Inc  Com")</f>
        <v>Csg Systems International Inc  Com</v>
      </c>
      <c r="B1551" s="12" t="str">
        <f>IFERROR(__xludf.DUMMYFUNCTION("""COMPUTED_VALUE"""),"CSGS-US")</f>
        <v>CSGS-US</v>
      </c>
      <c r="C1551" s="12"/>
      <c r="D1551" s="13">
        <f>IFERROR(__xludf.DUMMYFUNCTION("""COMPUTED_VALUE"""),45449.0)</f>
        <v>45449</v>
      </c>
      <c r="E1551" s="13">
        <f>IFERROR(__xludf.DUMMYFUNCTION("""COMPUTED_VALUE"""),45791.0)</f>
        <v>45791</v>
      </c>
      <c r="F1551" s="13">
        <f>IFERROR(__xludf.DUMMYFUNCTION("""COMPUTED_VALUE"""),45791.0)</f>
        <v>45791</v>
      </c>
      <c r="G1551" s="12"/>
      <c r="H1551" s="12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</row>
    <row r="1552">
      <c r="A1552" s="11" t="str">
        <f>IFERROR(__xludf.DUMMYFUNCTION("""COMPUTED_VALUE"""),"Virtus Investment Partners Inc  Com")</f>
        <v>Virtus Investment Partners Inc  Com</v>
      </c>
      <c r="B1552" s="12" t="str">
        <f>IFERROR(__xludf.DUMMYFUNCTION("""COMPUTED_VALUE"""),"VRTS-US")</f>
        <v>VRTS-US</v>
      </c>
      <c r="C1552" s="12"/>
      <c r="D1552" s="13">
        <f>IFERROR(__xludf.DUMMYFUNCTION("""COMPUTED_VALUE"""),45449.0)</f>
        <v>45449</v>
      </c>
      <c r="E1552" s="13">
        <f>IFERROR(__xludf.DUMMYFUNCTION("""COMPUTED_VALUE"""),45791.0)</f>
        <v>45791</v>
      </c>
      <c r="F1552" s="13">
        <f>IFERROR(__xludf.DUMMYFUNCTION("""COMPUTED_VALUE"""),45791.0)</f>
        <v>45791</v>
      </c>
      <c r="G1552" s="12"/>
      <c r="H1552" s="12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</row>
    <row r="1553">
      <c r="A1553" s="11" t="str">
        <f>IFERROR(__xludf.DUMMYFUNCTION("""COMPUTED_VALUE"""),"Donnelley Financial Solutions  Com")</f>
        <v>Donnelley Financial Solutions  Com</v>
      </c>
      <c r="B1553" s="12" t="str">
        <f>IFERROR(__xludf.DUMMYFUNCTION("""COMPUTED_VALUE"""),"DFIN-US")</f>
        <v>DFIN-US</v>
      </c>
      <c r="C1553" s="12"/>
      <c r="D1553" s="13">
        <f>IFERROR(__xludf.DUMMYFUNCTION("""COMPUTED_VALUE"""),45449.0)</f>
        <v>45449</v>
      </c>
      <c r="E1553" s="13">
        <f>IFERROR(__xludf.DUMMYFUNCTION("""COMPUTED_VALUE"""),45791.0)</f>
        <v>45791</v>
      </c>
      <c r="F1553" s="13">
        <f>IFERROR(__xludf.DUMMYFUNCTION("""COMPUTED_VALUE"""),45791.0)</f>
        <v>45791</v>
      </c>
      <c r="G1553" s="12"/>
      <c r="H1553" s="12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</row>
    <row r="1554">
      <c r="A1554" s="11" t="str">
        <f>IFERROR(__xludf.DUMMYFUNCTION("""COMPUTED_VALUE"""),"Helix Energy Solutions Group  Com")</f>
        <v>Helix Energy Solutions Group  Com</v>
      </c>
      <c r="B1554" s="12" t="str">
        <f>IFERROR(__xludf.DUMMYFUNCTION("""COMPUTED_VALUE"""),"HLX-US")</f>
        <v>HLX-US</v>
      </c>
      <c r="C1554" s="12"/>
      <c r="D1554" s="13">
        <f>IFERROR(__xludf.DUMMYFUNCTION("""COMPUTED_VALUE"""),45449.0)</f>
        <v>45449</v>
      </c>
      <c r="E1554" s="13">
        <f>IFERROR(__xludf.DUMMYFUNCTION("""COMPUTED_VALUE"""),45791.0)</f>
        <v>45791</v>
      </c>
      <c r="F1554" s="13">
        <f>IFERROR(__xludf.DUMMYFUNCTION("""COMPUTED_VALUE"""),45791.0)</f>
        <v>45791</v>
      </c>
      <c r="G1554" s="12"/>
      <c r="H1554" s="12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</row>
    <row r="1555">
      <c r="A1555" s="11" t="str">
        <f>IFERROR(__xludf.DUMMYFUNCTION("""COMPUTED_VALUE"""),"Veritex Holdings Inc  Com")</f>
        <v>Veritex Holdings Inc  Com</v>
      </c>
      <c r="B1555" s="12" t="str">
        <f>IFERROR(__xludf.DUMMYFUNCTION("""COMPUTED_VALUE"""),"VBTX-US")</f>
        <v>VBTX-US</v>
      </c>
      <c r="C1555" s="12"/>
      <c r="D1555" s="13">
        <f>IFERROR(__xludf.DUMMYFUNCTION("""COMPUTED_VALUE"""),45449.0)</f>
        <v>45449</v>
      </c>
      <c r="E1555" s="13">
        <f>IFERROR(__xludf.DUMMYFUNCTION("""COMPUTED_VALUE"""),45804.0)</f>
        <v>45804</v>
      </c>
      <c r="F1555" s="13">
        <f>IFERROR(__xludf.DUMMYFUNCTION("""COMPUTED_VALUE"""),45804.0)</f>
        <v>45804</v>
      </c>
      <c r="G1555" s="12"/>
      <c r="H1555" s="12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</row>
    <row r="1556">
      <c r="A1556" s="11" t="str">
        <f>IFERROR(__xludf.DUMMYFUNCTION("""COMPUTED_VALUE"""),"Safety Insurance Group Inc  Com")</f>
        <v>Safety Insurance Group Inc  Com</v>
      </c>
      <c r="B1556" s="12" t="str">
        <f>IFERROR(__xludf.DUMMYFUNCTION("""COMPUTED_VALUE"""),"SAFT-US")</f>
        <v>SAFT-US</v>
      </c>
      <c r="C1556" s="12"/>
      <c r="D1556" s="13">
        <f>IFERROR(__xludf.DUMMYFUNCTION("""COMPUTED_VALUE"""),45449.0)</f>
        <v>45449</v>
      </c>
      <c r="E1556" s="13">
        <f>IFERROR(__xludf.DUMMYFUNCTION("""COMPUTED_VALUE"""),45791.0)</f>
        <v>45791</v>
      </c>
      <c r="F1556" s="13">
        <f>IFERROR(__xludf.DUMMYFUNCTION("""COMPUTED_VALUE"""),45791.0)</f>
        <v>45791</v>
      </c>
      <c r="G1556" s="12"/>
      <c r="H1556" s="12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</row>
    <row r="1557">
      <c r="A1557" s="11" t="str">
        <f>IFERROR(__xludf.DUMMYFUNCTION("""COMPUTED_VALUE"""),"Southside Bancshares Inc  Com")</f>
        <v>Southside Bancshares Inc  Com</v>
      </c>
      <c r="B1557" s="12" t="str">
        <f>IFERROR(__xludf.DUMMYFUNCTION("""COMPUTED_VALUE"""),"SBSI-US")</f>
        <v>SBSI-US</v>
      </c>
      <c r="C1557" s="12"/>
      <c r="D1557" s="13">
        <f>IFERROR(__xludf.DUMMYFUNCTION("""COMPUTED_VALUE"""),45449.0)</f>
        <v>45449</v>
      </c>
      <c r="E1557" s="13">
        <f>IFERROR(__xludf.DUMMYFUNCTION("""COMPUTED_VALUE"""),45791.0)</f>
        <v>45791</v>
      </c>
      <c r="F1557" s="13">
        <f>IFERROR(__xludf.DUMMYFUNCTION("""COMPUTED_VALUE"""),45791.0)</f>
        <v>45791</v>
      </c>
      <c r="G1557" s="12"/>
      <c r="H1557" s="12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</row>
    <row r="1558">
      <c r="A1558" s="11" t="str">
        <f>IFERROR(__xludf.DUMMYFUNCTION("""COMPUTED_VALUE"""),"Two Harbors Investment Corp  Com")</f>
        <v>Two Harbors Investment Corp  Com</v>
      </c>
      <c r="B1558" s="12" t="str">
        <f>IFERROR(__xludf.DUMMYFUNCTION("""COMPUTED_VALUE"""),"TWO-US")</f>
        <v>TWO-US</v>
      </c>
      <c r="C1558" s="12"/>
      <c r="D1558" s="13">
        <f>IFERROR(__xludf.DUMMYFUNCTION("""COMPUTED_VALUE"""),45449.0)</f>
        <v>45449</v>
      </c>
      <c r="E1558" s="13">
        <f>IFERROR(__xludf.DUMMYFUNCTION("""COMPUTED_VALUE"""),45791.0)</f>
        <v>45791</v>
      </c>
      <c r="F1558" s="13">
        <f>IFERROR(__xludf.DUMMYFUNCTION("""COMPUTED_VALUE"""),45791.0)</f>
        <v>45791</v>
      </c>
      <c r="G1558" s="12"/>
      <c r="H1558" s="12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</row>
    <row r="1559">
      <c r="A1559" s="11" t="str">
        <f>IFERROR(__xludf.DUMMYFUNCTION("""COMPUTED_VALUE"""),"Syndax Pharmaceuticals Inc  Com")</f>
        <v>Syndax Pharmaceuticals Inc  Com</v>
      </c>
      <c r="B1559" s="12" t="str">
        <f>IFERROR(__xludf.DUMMYFUNCTION("""COMPUTED_VALUE"""),"SNDX-US")</f>
        <v>SNDX-US</v>
      </c>
      <c r="C1559" s="12"/>
      <c r="D1559" s="13">
        <f>IFERROR(__xludf.DUMMYFUNCTION("""COMPUTED_VALUE"""),45449.0)</f>
        <v>45449</v>
      </c>
      <c r="E1559" s="13">
        <f>IFERROR(__xludf.DUMMYFUNCTION("""COMPUTED_VALUE"""),45791.0)</f>
        <v>45791</v>
      </c>
      <c r="F1559" s="13">
        <f>IFERROR(__xludf.DUMMYFUNCTION("""COMPUTED_VALUE"""),45791.0)</f>
        <v>45791</v>
      </c>
      <c r="G1559" s="12"/>
      <c r="H1559" s="12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</row>
    <row r="1560">
      <c r="A1560" s="11" t="str">
        <f>IFERROR(__xludf.DUMMYFUNCTION("""COMPUTED_VALUE"""),"Safehold Inc  Com")</f>
        <v>Safehold Inc  Com</v>
      </c>
      <c r="B1560" s="12" t="str">
        <f>IFERROR(__xludf.DUMMYFUNCTION("""COMPUTED_VALUE"""),"SAFE-US")</f>
        <v>SAFE-US</v>
      </c>
      <c r="C1560" s="12"/>
      <c r="D1560" s="13">
        <f>IFERROR(__xludf.DUMMYFUNCTION("""COMPUTED_VALUE"""),45449.0)</f>
        <v>45449</v>
      </c>
      <c r="E1560" s="13">
        <f>IFERROR(__xludf.DUMMYFUNCTION("""COMPUTED_VALUE"""),45792.0)</f>
        <v>45792</v>
      </c>
      <c r="F1560" s="13">
        <f>IFERROR(__xludf.DUMMYFUNCTION("""COMPUTED_VALUE"""),45792.0)</f>
        <v>45792</v>
      </c>
      <c r="G1560" s="12"/>
      <c r="H1560" s="12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</row>
    <row r="1561">
      <c r="A1561" s="11" t="str">
        <f>IFERROR(__xludf.DUMMYFUNCTION("""COMPUTED_VALUE"""),"Pros Holdings Inc  Com")</f>
        <v>Pros Holdings Inc  Com</v>
      </c>
      <c r="B1561" s="12" t="str">
        <f>IFERROR(__xludf.DUMMYFUNCTION("""COMPUTED_VALUE"""),"PRO-US")</f>
        <v>PRO-US</v>
      </c>
      <c r="C1561" s="12"/>
      <c r="D1561" s="13">
        <f>IFERROR(__xludf.DUMMYFUNCTION("""COMPUTED_VALUE"""),45449.0)</f>
        <v>45449</v>
      </c>
      <c r="E1561" s="13">
        <f>IFERROR(__xludf.DUMMYFUNCTION("""COMPUTED_VALUE"""),45785.0)</f>
        <v>45785</v>
      </c>
      <c r="F1561" s="13">
        <f>IFERROR(__xludf.DUMMYFUNCTION("""COMPUTED_VALUE"""),45785.0)</f>
        <v>45785</v>
      </c>
      <c r="G1561" s="12"/>
      <c r="H1561" s="12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</row>
    <row r="1562">
      <c r="A1562" s="11" t="str">
        <f>IFERROR(__xludf.DUMMYFUNCTION("""COMPUTED_VALUE"""),"Ichor Holdings Ltd  Com")</f>
        <v>Ichor Holdings Ltd  Com</v>
      </c>
      <c r="B1562" s="12" t="str">
        <f>IFERROR(__xludf.DUMMYFUNCTION("""COMPUTED_VALUE"""),"ICHR-US")</f>
        <v>ICHR-US</v>
      </c>
      <c r="C1562" s="12"/>
      <c r="D1562" s="13">
        <f>IFERROR(__xludf.DUMMYFUNCTION("""COMPUTED_VALUE"""),45449.0)</f>
        <v>45449</v>
      </c>
      <c r="E1562" s="13">
        <f>IFERROR(__xludf.DUMMYFUNCTION("""COMPUTED_VALUE"""),45791.0)</f>
        <v>45791</v>
      </c>
      <c r="F1562" s="13">
        <f>IFERROR(__xludf.DUMMYFUNCTION("""COMPUTED_VALUE"""),45791.0)</f>
        <v>45791</v>
      </c>
      <c r="G1562" s="12"/>
      <c r="H1562" s="12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</row>
    <row r="1563">
      <c r="A1563" s="11" t="str">
        <f>IFERROR(__xludf.DUMMYFUNCTION("""COMPUTED_VALUE"""),"Pc Connection Inc  Com")</f>
        <v>Pc Connection Inc  Com</v>
      </c>
      <c r="B1563" s="12" t="str">
        <f>IFERROR(__xludf.DUMMYFUNCTION("""COMPUTED_VALUE"""),"CNXN-US")</f>
        <v>CNXN-US</v>
      </c>
      <c r="C1563" s="12"/>
      <c r="D1563" s="13">
        <f>IFERROR(__xludf.DUMMYFUNCTION("""COMPUTED_VALUE"""),45449.0)</f>
        <v>45449</v>
      </c>
      <c r="E1563" s="13">
        <f>IFERROR(__xludf.DUMMYFUNCTION("""COMPUTED_VALUE"""),45791.0)</f>
        <v>45791</v>
      </c>
      <c r="F1563" s="13">
        <f>IFERROR(__xludf.DUMMYFUNCTION("""COMPUTED_VALUE"""),45791.0)</f>
        <v>45791</v>
      </c>
      <c r="G1563" s="12"/>
      <c r="H1563" s="12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</row>
    <row r="1564">
      <c r="A1564" s="11" t="str">
        <f>IFERROR(__xludf.DUMMYFUNCTION("""COMPUTED_VALUE"""),"Covenant Logistics Group Inc  Cl A")</f>
        <v>Covenant Logistics Group Inc  Cl A</v>
      </c>
      <c r="B1564" s="12" t="str">
        <f>IFERROR(__xludf.DUMMYFUNCTION("""COMPUTED_VALUE"""),"CVLG-US")</f>
        <v>CVLG-US</v>
      </c>
      <c r="C1564" s="12"/>
      <c r="D1564" s="13">
        <f>IFERROR(__xludf.DUMMYFUNCTION("""COMPUTED_VALUE"""),45449.0)</f>
        <v>45449</v>
      </c>
      <c r="E1564" s="13">
        <f>IFERROR(__xludf.DUMMYFUNCTION("""COMPUTED_VALUE"""),45791.0)</f>
        <v>45791</v>
      </c>
      <c r="F1564" s="13">
        <f>IFERROR(__xludf.DUMMYFUNCTION("""COMPUTED_VALUE"""),45791.0)</f>
        <v>45791</v>
      </c>
      <c r="G1564" s="12"/>
      <c r="H1564" s="12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</row>
    <row r="1565">
      <c r="A1565" s="11" t="str">
        <f>IFERROR(__xludf.DUMMYFUNCTION("""COMPUTED_VALUE"""),"Harborone Bancorp Inc  Com")</f>
        <v>Harborone Bancorp Inc  Com</v>
      </c>
      <c r="B1565" s="12" t="str">
        <f>IFERROR(__xludf.DUMMYFUNCTION("""COMPUTED_VALUE"""),"HONE-US")</f>
        <v>HONE-US</v>
      </c>
      <c r="C1565" s="12"/>
      <c r="D1565" s="13">
        <f>IFERROR(__xludf.DUMMYFUNCTION("""COMPUTED_VALUE"""),45449.0)</f>
        <v>45449</v>
      </c>
      <c r="E1565" s="13">
        <f>IFERROR(__xludf.DUMMYFUNCTION("""COMPUTED_VALUE"""),45790.0)</f>
        <v>45790</v>
      </c>
      <c r="F1565" s="13">
        <f>IFERROR(__xludf.DUMMYFUNCTION("""COMPUTED_VALUE"""),45790.0)</f>
        <v>45790</v>
      </c>
      <c r="G1565" s="12"/>
      <c r="H1565" s="12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</row>
    <row r="1566">
      <c r="A1566" s="11" t="str">
        <f>IFERROR(__xludf.DUMMYFUNCTION("""COMPUTED_VALUE"""),"Pursuit Attractions &amp; Hospitali  Com")</f>
        <v>Pursuit Attractions &amp; Hospitali  Com</v>
      </c>
      <c r="B1566" s="12" t="str">
        <f>IFERROR(__xludf.DUMMYFUNCTION("""COMPUTED_VALUE"""),"PRSU-US")</f>
        <v>PRSU-US</v>
      </c>
      <c r="C1566" s="12"/>
      <c r="D1566" s="13">
        <f>IFERROR(__xludf.DUMMYFUNCTION("""COMPUTED_VALUE"""),45449.0)</f>
        <v>45449</v>
      </c>
      <c r="E1566" s="13">
        <f>IFERROR(__xludf.DUMMYFUNCTION("""COMPUTED_VALUE"""),45799.0)</f>
        <v>45799</v>
      </c>
      <c r="F1566" s="13">
        <f>IFERROR(__xludf.DUMMYFUNCTION("""COMPUTED_VALUE"""),45799.0)</f>
        <v>45799</v>
      </c>
      <c r="G1566" s="12"/>
      <c r="H1566" s="12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</row>
    <row r="1567">
      <c r="A1567" s="11" t="str">
        <f>IFERROR(__xludf.DUMMYFUNCTION("""COMPUTED_VALUE"""),"United Fire Group Inc  Com")</f>
        <v>United Fire Group Inc  Com</v>
      </c>
      <c r="B1567" s="12" t="str">
        <f>IFERROR(__xludf.DUMMYFUNCTION("""COMPUTED_VALUE"""),"UFCS-US")</f>
        <v>UFCS-US</v>
      </c>
      <c r="C1567" s="12"/>
      <c r="D1567" s="13">
        <f>IFERROR(__xludf.DUMMYFUNCTION("""COMPUTED_VALUE"""),45449.0)</f>
        <v>45449</v>
      </c>
      <c r="E1567" s="13">
        <f>IFERROR(__xludf.DUMMYFUNCTION("""COMPUTED_VALUE"""),45798.0)</f>
        <v>45798</v>
      </c>
      <c r="F1567" s="13">
        <f>IFERROR(__xludf.DUMMYFUNCTION("""COMPUTED_VALUE"""),45798.0)</f>
        <v>45798</v>
      </c>
      <c r="G1567" s="12"/>
      <c r="H1567" s="12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</row>
    <row r="1568">
      <c r="A1568" s="11" t="str">
        <f>IFERROR(__xludf.DUMMYFUNCTION("""COMPUTED_VALUE"""),"Investors Title Co  Com")</f>
        <v>Investors Title Co  Com</v>
      </c>
      <c r="B1568" s="12" t="str">
        <f>IFERROR(__xludf.DUMMYFUNCTION("""COMPUTED_VALUE"""),"ITIC-US")</f>
        <v>ITIC-US</v>
      </c>
      <c r="C1568" s="12"/>
      <c r="D1568" s="13">
        <f>IFERROR(__xludf.DUMMYFUNCTION("""COMPUTED_VALUE"""),45449.0)</f>
        <v>45449</v>
      </c>
      <c r="E1568" s="13">
        <f>IFERROR(__xludf.DUMMYFUNCTION("""COMPUTED_VALUE"""),45798.0)</f>
        <v>45798</v>
      </c>
      <c r="F1568" s="13">
        <f>IFERROR(__xludf.DUMMYFUNCTION("""COMPUTED_VALUE"""),45798.0)</f>
        <v>45798</v>
      </c>
      <c r="G1568" s="12"/>
      <c r="H1568" s="12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</row>
    <row r="1569">
      <c r="A1569" s="11" t="str">
        <f>IFERROR(__xludf.DUMMYFUNCTION("""COMPUTED_VALUE"""),"Quantum Si Inc  Cl A")</f>
        <v>Quantum Si Inc  Cl A</v>
      </c>
      <c r="B1569" s="12" t="str">
        <f>IFERROR(__xludf.DUMMYFUNCTION("""COMPUTED_VALUE"""),"QSI-US")</f>
        <v>QSI-US</v>
      </c>
      <c r="C1569" s="12"/>
      <c r="D1569" s="13">
        <f>IFERROR(__xludf.DUMMYFUNCTION("""COMPUTED_VALUE"""),45449.0)</f>
        <v>45449</v>
      </c>
      <c r="E1569" s="13">
        <f>IFERROR(__xludf.DUMMYFUNCTION("""COMPUTED_VALUE"""),45793.0)</f>
        <v>45793</v>
      </c>
      <c r="F1569" s="13">
        <f>IFERROR(__xludf.DUMMYFUNCTION("""COMPUTED_VALUE"""),45793.0)</f>
        <v>45793</v>
      </c>
      <c r="G1569" s="12"/>
      <c r="H1569" s="12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</row>
    <row r="1570">
      <c r="A1570" s="11" t="str">
        <f>IFERROR(__xludf.DUMMYFUNCTION("""COMPUTED_VALUE"""),"Rayonier Advanced Materials Inc  Com")</f>
        <v>Rayonier Advanced Materials Inc  Com</v>
      </c>
      <c r="B1570" s="12" t="str">
        <f>IFERROR(__xludf.DUMMYFUNCTION("""COMPUTED_VALUE"""),"RYAM-US")</f>
        <v>RYAM-US</v>
      </c>
      <c r="C1570" s="12"/>
      <c r="D1570" s="13">
        <f>IFERROR(__xludf.DUMMYFUNCTION("""COMPUTED_VALUE"""),45449.0)</f>
        <v>45449</v>
      </c>
      <c r="E1570" s="13">
        <f>IFERROR(__xludf.DUMMYFUNCTION("""COMPUTED_VALUE"""),45791.0)</f>
        <v>45791</v>
      </c>
      <c r="F1570" s="13">
        <f>IFERROR(__xludf.DUMMYFUNCTION("""COMPUTED_VALUE"""),45791.0)</f>
        <v>45791</v>
      </c>
      <c r="G1570" s="12"/>
      <c r="H1570" s="12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</row>
    <row r="1571">
      <c r="A1571" s="11" t="str">
        <f>IFERROR(__xludf.DUMMYFUNCTION("""COMPUTED_VALUE"""),"Eastman Kodak Co  Com New")</f>
        <v>Eastman Kodak Co  Com New</v>
      </c>
      <c r="B1571" s="12" t="str">
        <f>IFERROR(__xludf.DUMMYFUNCTION("""COMPUTED_VALUE"""),"KODK-US")</f>
        <v>KODK-US</v>
      </c>
      <c r="C1571" s="12"/>
      <c r="D1571" s="13">
        <f>IFERROR(__xludf.DUMMYFUNCTION("""COMPUTED_VALUE"""),45449.0)</f>
        <v>45449</v>
      </c>
      <c r="E1571" s="13">
        <f>IFERROR(__xludf.DUMMYFUNCTION("""COMPUTED_VALUE"""),45798.0)</f>
        <v>45798</v>
      </c>
      <c r="F1571" s="13">
        <f>IFERROR(__xludf.DUMMYFUNCTION("""COMPUTED_VALUE"""),45798.0)</f>
        <v>45798</v>
      </c>
      <c r="G1571" s="12"/>
      <c r="H1571" s="12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</row>
    <row r="1572">
      <c r="A1572" s="11" t="str">
        <f>IFERROR(__xludf.DUMMYFUNCTION("""COMPUTED_VALUE"""),"Zimvie Inc  Com")</f>
        <v>Zimvie Inc  Com</v>
      </c>
      <c r="B1572" s="12" t="str">
        <f>IFERROR(__xludf.DUMMYFUNCTION("""COMPUTED_VALUE"""),"ZIMV-US")</f>
        <v>ZIMV-US</v>
      </c>
      <c r="C1572" s="12"/>
      <c r="D1572" s="13">
        <f>IFERROR(__xludf.DUMMYFUNCTION("""COMPUTED_VALUE"""),45449.0)</f>
        <v>45449</v>
      </c>
      <c r="E1572" s="13">
        <f>IFERROR(__xludf.DUMMYFUNCTION("""COMPUTED_VALUE"""),45784.0)</f>
        <v>45784</v>
      </c>
      <c r="F1572" s="13">
        <f>IFERROR(__xludf.DUMMYFUNCTION("""COMPUTED_VALUE"""),45784.0)</f>
        <v>45784</v>
      </c>
      <c r="G1572" s="12"/>
      <c r="H1572" s="12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</row>
    <row r="1573">
      <c r="A1573" s="11" t="str">
        <f>IFERROR(__xludf.DUMMYFUNCTION("""COMPUTED_VALUE"""),"Middlefield Banc Corp  Com")</f>
        <v>Middlefield Banc Corp  Com</v>
      </c>
      <c r="B1573" s="12" t="str">
        <f>IFERROR(__xludf.DUMMYFUNCTION("""COMPUTED_VALUE"""),"MBCN-US")</f>
        <v>MBCN-US</v>
      </c>
      <c r="C1573" s="12"/>
      <c r="D1573" s="13">
        <f>IFERROR(__xludf.DUMMYFUNCTION("""COMPUTED_VALUE"""),45449.0)</f>
        <v>45449</v>
      </c>
      <c r="E1573" s="13">
        <f>IFERROR(__xludf.DUMMYFUNCTION("""COMPUTED_VALUE"""),45791.0)</f>
        <v>45791</v>
      </c>
      <c r="F1573" s="13">
        <f>IFERROR(__xludf.DUMMYFUNCTION("""COMPUTED_VALUE"""),45791.0)</f>
        <v>45791</v>
      </c>
      <c r="G1573" s="12"/>
      <c r="H1573" s="12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</row>
    <row r="1574">
      <c r="A1574" s="11" t="str">
        <f>IFERROR(__xludf.DUMMYFUNCTION("""COMPUTED_VALUE"""),"Dennys Corp  Com")</f>
        <v>Dennys Corp  Com</v>
      </c>
      <c r="B1574" s="12" t="str">
        <f>IFERROR(__xludf.DUMMYFUNCTION("""COMPUTED_VALUE"""),"DENN-US")</f>
        <v>DENN-US</v>
      </c>
      <c r="C1574" s="12"/>
      <c r="D1574" s="13">
        <f>IFERROR(__xludf.DUMMYFUNCTION("""COMPUTED_VALUE"""),45449.0)</f>
        <v>45449</v>
      </c>
      <c r="E1574" s="13">
        <f>IFERROR(__xludf.DUMMYFUNCTION("""COMPUTED_VALUE"""),45791.0)</f>
        <v>45791</v>
      </c>
      <c r="F1574" s="13">
        <f>IFERROR(__xludf.DUMMYFUNCTION("""COMPUTED_VALUE"""),45791.0)</f>
        <v>45791</v>
      </c>
      <c r="G1574" s="12"/>
      <c r="H1574" s="12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</row>
    <row r="1575">
      <c r="A1575" s="11" t="str">
        <f>IFERROR(__xludf.DUMMYFUNCTION("""COMPUTED_VALUE"""),"Chatham Lodging Trust  Com")</f>
        <v>Chatham Lodging Trust  Com</v>
      </c>
      <c r="B1575" s="12" t="str">
        <f>IFERROR(__xludf.DUMMYFUNCTION("""COMPUTED_VALUE"""),"CLDT-US")</f>
        <v>CLDT-US</v>
      </c>
      <c r="C1575" s="12"/>
      <c r="D1575" s="13">
        <f>IFERROR(__xludf.DUMMYFUNCTION("""COMPUTED_VALUE"""),45449.0)</f>
        <v>45449</v>
      </c>
      <c r="E1575" s="13">
        <f>IFERROR(__xludf.DUMMYFUNCTION("""COMPUTED_VALUE"""),45783.0)</f>
        <v>45783</v>
      </c>
      <c r="F1575" s="13">
        <f>IFERROR(__xludf.DUMMYFUNCTION("""COMPUTED_VALUE"""),45783.0)</f>
        <v>45783</v>
      </c>
      <c r="G1575" s="12"/>
      <c r="H1575" s="12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</row>
    <row r="1576">
      <c r="A1576" s="11" t="str">
        <f>IFERROR(__xludf.DUMMYFUNCTION("""COMPUTED_VALUE"""),"Hudson Pacific Properties Inc  Com")</f>
        <v>Hudson Pacific Properties Inc  Com</v>
      </c>
      <c r="B1576" s="12" t="str">
        <f>IFERROR(__xludf.DUMMYFUNCTION("""COMPUTED_VALUE"""),"HPP-US")</f>
        <v>HPP-US</v>
      </c>
      <c r="C1576" s="12"/>
      <c r="D1576" s="13">
        <f>IFERROR(__xludf.DUMMYFUNCTION("""COMPUTED_VALUE"""),45449.0)</f>
        <v>45449</v>
      </c>
      <c r="E1576" s="13">
        <f>IFERROR(__xludf.DUMMYFUNCTION("""COMPUTED_VALUE"""),45791.0)</f>
        <v>45791</v>
      </c>
      <c r="F1576" s="13">
        <f>IFERROR(__xludf.DUMMYFUNCTION("""COMPUTED_VALUE"""),45791.0)</f>
        <v>45791</v>
      </c>
      <c r="G1576" s="12"/>
      <c r="H1576" s="12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</row>
    <row r="1577">
      <c r="A1577" s="11" t="str">
        <f>IFERROR(__xludf.DUMMYFUNCTION("""COMPUTED_VALUE"""),"Guaranty Bancshares Inc/Tx  Com")</f>
        <v>Guaranty Bancshares Inc/Tx  Com</v>
      </c>
      <c r="B1577" s="12" t="str">
        <f>IFERROR(__xludf.DUMMYFUNCTION("""COMPUTED_VALUE"""),"GNTY-US")</f>
        <v>GNTY-US</v>
      </c>
      <c r="C1577" s="12"/>
      <c r="D1577" s="13">
        <f>IFERROR(__xludf.DUMMYFUNCTION("""COMPUTED_VALUE"""),45449.0)</f>
        <v>45449</v>
      </c>
      <c r="E1577" s="13">
        <f>IFERROR(__xludf.DUMMYFUNCTION("""COMPUTED_VALUE"""),45798.0)</f>
        <v>45798</v>
      </c>
      <c r="F1577" s="13">
        <f>IFERROR(__xludf.DUMMYFUNCTION("""COMPUTED_VALUE"""),45798.0)</f>
        <v>45798</v>
      </c>
      <c r="G1577" s="12"/>
      <c r="H1577" s="12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</row>
    <row r="1578">
      <c r="A1578" s="11" t="str">
        <f>IFERROR(__xludf.DUMMYFUNCTION("""COMPUTED_VALUE"""),"Shyft Group Inc  Com")</f>
        <v>Shyft Group Inc  Com</v>
      </c>
      <c r="B1578" s="12" t="str">
        <f>IFERROR(__xludf.DUMMYFUNCTION("""COMPUTED_VALUE"""),"SHYF-US")</f>
        <v>SHYF-US</v>
      </c>
      <c r="C1578" s="12"/>
      <c r="D1578" s="13">
        <f>IFERROR(__xludf.DUMMYFUNCTION("""COMPUTED_VALUE"""),45449.0)</f>
        <v>45449</v>
      </c>
      <c r="E1578" s="13">
        <f>IFERROR(__xludf.DUMMYFUNCTION("""COMPUTED_VALUE"""),45791.0)</f>
        <v>45791</v>
      </c>
      <c r="F1578" s="13">
        <f>IFERROR(__xludf.DUMMYFUNCTION("""COMPUTED_VALUE"""),45791.0)</f>
        <v>45791</v>
      </c>
      <c r="G1578" s="12"/>
      <c r="H1578" s="12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</row>
    <row r="1579">
      <c r="A1579" s="11" t="str">
        <f>IFERROR(__xludf.DUMMYFUNCTION("""COMPUTED_VALUE"""),"Rbb Bancorp  Com")</f>
        <v>Rbb Bancorp  Com</v>
      </c>
      <c r="B1579" s="12" t="str">
        <f>IFERROR(__xludf.DUMMYFUNCTION("""COMPUTED_VALUE"""),"RBB-US")</f>
        <v>RBB-US</v>
      </c>
      <c r="C1579" s="12"/>
      <c r="D1579" s="13">
        <f>IFERROR(__xludf.DUMMYFUNCTION("""COMPUTED_VALUE"""),45449.0)</f>
        <v>45449</v>
      </c>
      <c r="E1579" s="13">
        <f>IFERROR(__xludf.DUMMYFUNCTION("""COMPUTED_VALUE"""),45798.0)</f>
        <v>45798</v>
      </c>
      <c r="F1579" s="13">
        <f>IFERROR(__xludf.DUMMYFUNCTION("""COMPUTED_VALUE"""),45798.0)</f>
        <v>45798</v>
      </c>
      <c r="G1579" s="12"/>
      <c r="H1579" s="12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</row>
    <row r="1580">
      <c r="A1580" s="11" t="str">
        <f>IFERROR(__xludf.DUMMYFUNCTION("""COMPUTED_VALUE"""),"Potbelly Corp  Com")</f>
        <v>Potbelly Corp  Com</v>
      </c>
      <c r="B1580" s="12" t="str">
        <f>IFERROR(__xludf.DUMMYFUNCTION("""COMPUTED_VALUE"""),"PBPB-US")</f>
        <v>PBPB-US</v>
      </c>
      <c r="C1580" s="12"/>
      <c r="D1580" s="13">
        <f>IFERROR(__xludf.DUMMYFUNCTION("""COMPUTED_VALUE"""),45449.0)</f>
        <v>45449</v>
      </c>
      <c r="E1580" s="13">
        <f>IFERROR(__xludf.DUMMYFUNCTION("""COMPUTED_VALUE"""),45792.0)</f>
        <v>45792</v>
      </c>
      <c r="F1580" s="13">
        <f>IFERROR(__xludf.DUMMYFUNCTION("""COMPUTED_VALUE"""),45792.0)</f>
        <v>45792</v>
      </c>
      <c r="G1580" s="12"/>
      <c r="H1580" s="12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</row>
    <row r="1581">
      <c r="A1581" s="11" t="str">
        <f>IFERROR(__xludf.DUMMYFUNCTION("""COMPUTED_VALUE"""),"Evgo Inc  Cl A")</f>
        <v>Evgo Inc  Cl A</v>
      </c>
      <c r="B1581" s="12" t="str">
        <f>IFERROR(__xludf.DUMMYFUNCTION("""COMPUTED_VALUE"""),"EVGO-US")</f>
        <v>EVGO-US</v>
      </c>
      <c r="C1581" s="12"/>
      <c r="D1581" s="13">
        <f>IFERROR(__xludf.DUMMYFUNCTION("""COMPUTED_VALUE"""),45449.0)</f>
        <v>45449</v>
      </c>
      <c r="E1581" s="13">
        <f>IFERROR(__xludf.DUMMYFUNCTION("""COMPUTED_VALUE"""),45792.0)</f>
        <v>45792</v>
      </c>
      <c r="F1581" s="13">
        <f>IFERROR(__xludf.DUMMYFUNCTION("""COMPUTED_VALUE"""),45792.0)</f>
        <v>45792</v>
      </c>
      <c r="G1581" s="12"/>
      <c r="H1581" s="12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</row>
    <row r="1582">
      <c r="A1582" s="11" t="str">
        <f>IFERROR(__xludf.DUMMYFUNCTION("""COMPUTED_VALUE"""),"Global Medical Reit Inc  Com")</f>
        <v>Global Medical Reit Inc  Com</v>
      </c>
      <c r="B1582" s="12" t="str">
        <f>IFERROR(__xludf.DUMMYFUNCTION("""COMPUTED_VALUE"""),"GMRE-US")</f>
        <v>GMRE-US</v>
      </c>
      <c r="C1582" s="12"/>
      <c r="D1582" s="13">
        <f>IFERROR(__xludf.DUMMYFUNCTION("""COMPUTED_VALUE"""),45449.0)</f>
        <v>45449</v>
      </c>
      <c r="E1582" s="13">
        <f>IFERROR(__xludf.DUMMYFUNCTION("""COMPUTED_VALUE"""),45791.0)</f>
        <v>45791</v>
      </c>
      <c r="F1582" s="13">
        <f>IFERROR(__xludf.DUMMYFUNCTION("""COMPUTED_VALUE"""),45791.0)</f>
        <v>45791</v>
      </c>
      <c r="G1582" s="12"/>
      <c r="H1582" s="12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</row>
    <row r="1583">
      <c r="A1583" s="11" t="str">
        <f>IFERROR(__xludf.DUMMYFUNCTION("""COMPUTED_VALUE"""),"Trueblue Inc  Com")</f>
        <v>Trueblue Inc  Com</v>
      </c>
      <c r="B1583" s="12" t="str">
        <f>IFERROR(__xludf.DUMMYFUNCTION("""COMPUTED_VALUE"""),"TBI-US")</f>
        <v>TBI-US</v>
      </c>
      <c r="C1583" s="12"/>
      <c r="D1583" s="13">
        <f>IFERROR(__xludf.DUMMYFUNCTION("""COMPUTED_VALUE"""),45449.0)</f>
        <v>45449</v>
      </c>
      <c r="E1583" s="13">
        <f>IFERROR(__xludf.DUMMYFUNCTION("""COMPUTED_VALUE"""),45791.0)</f>
        <v>45791</v>
      </c>
      <c r="F1583" s="13">
        <f>IFERROR(__xludf.DUMMYFUNCTION("""COMPUTED_VALUE"""),45791.0)</f>
        <v>45791</v>
      </c>
      <c r="G1583" s="12"/>
      <c r="H1583" s="12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</row>
    <row r="1584">
      <c r="A1584" s="11" t="str">
        <f>IFERROR(__xludf.DUMMYFUNCTION("""COMPUTED_VALUE"""),"Amplify Energy Corp  Com")</f>
        <v>Amplify Energy Corp  Com</v>
      </c>
      <c r="B1584" s="12" t="str">
        <f>IFERROR(__xludf.DUMMYFUNCTION("""COMPUTED_VALUE"""),"AMPY-US")</f>
        <v>AMPY-US</v>
      </c>
      <c r="C1584" s="12"/>
      <c r="D1584" s="13">
        <f>IFERROR(__xludf.DUMMYFUNCTION("""COMPUTED_VALUE"""),45449.0)</f>
        <v>45449</v>
      </c>
      <c r="E1584" s="13">
        <f>IFERROR(__xludf.DUMMYFUNCTION("""COMPUTED_VALUE"""),45821.0)</f>
        <v>45821</v>
      </c>
      <c r="F1584" s="13">
        <f>IFERROR(__xludf.DUMMYFUNCTION("""COMPUTED_VALUE"""),45821.0)</f>
        <v>45821</v>
      </c>
      <c r="G1584" s="12"/>
      <c r="H1584" s="12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</row>
    <row r="1585">
      <c r="A1585" s="11" t="str">
        <f>IFERROR(__xludf.DUMMYFUNCTION("""COMPUTED_VALUE"""),"Orion Office Reit Inc  Com")</f>
        <v>Orion Office Reit Inc  Com</v>
      </c>
      <c r="B1585" s="12" t="str">
        <f>IFERROR(__xludf.DUMMYFUNCTION("""COMPUTED_VALUE"""),"ONL-US")</f>
        <v>ONL-US</v>
      </c>
      <c r="C1585" s="12"/>
      <c r="D1585" s="13">
        <f>IFERROR(__xludf.DUMMYFUNCTION("""COMPUTED_VALUE"""),45449.0)</f>
        <v>45449</v>
      </c>
      <c r="E1585" s="13">
        <f>IFERROR(__xludf.DUMMYFUNCTION("""COMPUTED_VALUE"""),45791.0)</f>
        <v>45791</v>
      </c>
      <c r="F1585" s="13">
        <f>IFERROR(__xludf.DUMMYFUNCTION("""COMPUTED_VALUE"""),45791.0)</f>
        <v>45791</v>
      </c>
      <c r="G1585" s="12"/>
      <c r="H1585" s="12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</row>
    <row r="1586">
      <c r="A1586" s="11" t="str">
        <f>IFERROR(__xludf.DUMMYFUNCTION("""COMPUTED_VALUE"""),"Dmc Global Inc  Com")</f>
        <v>Dmc Global Inc  Com</v>
      </c>
      <c r="B1586" s="12" t="str">
        <f>IFERROR(__xludf.DUMMYFUNCTION("""COMPUTED_VALUE"""),"BOOM-US")</f>
        <v>BOOM-US</v>
      </c>
      <c r="C1586" s="12"/>
      <c r="D1586" s="13">
        <f>IFERROR(__xludf.DUMMYFUNCTION("""COMPUTED_VALUE"""),45449.0)</f>
        <v>45449</v>
      </c>
      <c r="E1586" s="13">
        <f>IFERROR(__xludf.DUMMYFUNCTION("""COMPUTED_VALUE"""),45791.0)</f>
        <v>45791</v>
      </c>
      <c r="F1586" s="13">
        <f>IFERROR(__xludf.DUMMYFUNCTION("""COMPUTED_VALUE"""),45791.0)</f>
        <v>45791</v>
      </c>
      <c r="G1586" s="12"/>
      <c r="H1586" s="12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</row>
    <row r="1587">
      <c r="A1587" s="11" t="str">
        <f>IFERROR(__xludf.DUMMYFUNCTION("""COMPUTED_VALUE"""),"Honeywell International Inc  Com")</f>
        <v>Honeywell International Inc  Com</v>
      </c>
      <c r="B1587" s="12" t="str">
        <f>IFERROR(__xludf.DUMMYFUNCTION("""COMPUTED_VALUE"""),"HON-US")</f>
        <v>HON-US</v>
      </c>
      <c r="C1587" s="12"/>
      <c r="D1587" s="13">
        <f>IFERROR(__xludf.DUMMYFUNCTION("""COMPUTED_VALUE"""),45449.0)</f>
        <v>45449</v>
      </c>
      <c r="E1587" s="13">
        <f>IFERROR(__xludf.DUMMYFUNCTION("""COMPUTED_VALUE"""),45797.0)</f>
        <v>45797</v>
      </c>
      <c r="F1587" s="13">
        <f>IFERROR(__xludf.DUMMYFUNCTION("""COMPUTED_VALUE"""),45797.0)</f>
        <v>45797</v>
      </c>
      <c r="G1587" s="12"/>
      <c r="H1587" s="12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</row>
    <row r="1588">
      <c r="A1588" s="11" t="str">
        <f>IFERROR(__xludf.DUMMYFUNCTION("""COMPUTED_VALUE"""),"Conocophillips  Com")</f>
        <v>Conocophillips  Com</v>
      </c>
      <c r="B1588" s="12" t="str">
        <f>IFERROR(__xludf.DUMMYFUNCTION("""COMPUTED_VALUE"""),"COP-US")</f>
        <v>COP-US</v>
      </c>
      <c r="C1588" s="12"/>
      <c r="D1588" s="13">
        <f>IFERROR(__xludf.DUMMYFUNCTION("""COMPUTED_VALUE"""),45449.0)</f>
        <v>45449</v>
      </c>
      <c r="E1588" s="13">
        <f>IFERROR(__xludf.DUMMYFUNCTION("""COMPUTED_VALUE"""),45790.0)</f>
        <v>45790</v>
      </c>
      <c r="F1588" s="13">
        <f>IFERROR(__xludf.DUMMYFUNCTION("""COMPUTED_VALUE"""),45790.0)</f>
        <v>45790</v>
      </c>
      <c r="G1588" s="12"/>
      <c r="H1588" s="12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</row>
    <row r="1589">
      <c r="A1589" s="11" t="str">
        <f>IFERROR(__xludf.DUMMYFUNCTION("""COMPUTED_VALUE"""),"Waste Management Inc  Com")</f>
        <v>Waste Management Inc  Com</v>
      </c>
      <c r="B1589" s="12" t="str">
        <f>IFERROR(__xludf.DUMMYFUNCTION("""COMPUTED_VALUE"""),"WM-US")</f>
        <v>WM-US</v>
      </c>
      <c r="C1589" s="12"/>
      <c r="D1589" s="13">
        <f>IFERROR(__xludf.DUMMYFUNCTION("""COMPUTED_VALUE"""),45449.0)</f>
        <v>45449</v>
      </c>
      <c r="E1589" s="13">
        <f>IFERROR(__xludf.DUMMYFUNCTION("""COMPUTED_VALUE"""),45790.0)</f>
        <v>45790</v>
      </c>
      <c r="F1589" s="13">
        <f>IFERROR(__xludf.DUMMYFUNCTION("""COMPUTED_VALUE"""),45790.0)</f>
        <v>45790</v>
      </c>
      <c r="G1589" s="12"/>
      <c r="H1589" s="12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</row>
    <row r="1590">
      <c r="A1590" s="11" t="str">
        <f>IFERROR(__xludf.DUMMYFUNCTION("""COMPUTED_VALUE"""),"Motorola Solutions Inc  Com")</f>
        <v>Motorola Solutions Inc  Com</v>
      </c>
      <c r="B1590" s="12" t="str">
        <f>IFERROR(__xludf.DUMMYFUNCTION("""COMPUTED_VALUE"""),"MSI-US")</f>
        <v>MSI-US</v>
      </c>
      <c r="C1590" s="12"/>
      <c r="D1590" s="13">
        <f>IFERROR(__xludf.DUMMYFUNCTION("""COMPUTED_VALUE"""),45449.0)</f>
        <v>45449</v>
      </c>
      <c r="E1590" s="13">
        <f>IFERROR(__xludf.DUMMYFUNCTION("""COMPUTED_VALUE"""),45792.0)</f>
        <v>45792</v>
      </c>
      <c r="F1590" s="13">
        <f>IFERROR(__xludf.DUMMYFUNCTION("""COMPUTED_VALUE"""),45792.0)</f>
        <v>45792</v>
      </c>
      <c r="G1590" s="12"/>
      <c r="H1590" s="12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</row>
    <row r="1591">
      <c r="A1591" s="11" t="str">
        <f>IFERROR(__xludf.DUMMYFUNCTION("""COMPUTED_VALUE"""),"Cummins Inc  Com")</f>
        <v>Cummins Inc  Com</v>
      </c>
      <c r="B1591" s="12" t="str">
        <f>IFERROR(__xludf.DUMMYFUNCTION("""COMPUTED_VALUE"""),"CMI-US")</f>
        <v>CMI-US</v>
      </c>
      <c r="C1591" s="12"/>
      <c r="D1591" s="13">
        <f>IFERROR(__xludf.DUMMYFUNCTION("""COMPUTED_VALUE"""),45449.0)</f>
        <v>45449</v>
      </c>
      <c r="E1591" s="13">
        <f>IFERROR(__xludf.DUMMYFUNCTION("""COMPUTED_VALUE"""),45790.0)</f>
        <v>45790</v>
      </c>
      <c r="F1591" s="13">
        <f>IFERROR(__xludf.DUMMYFUNCTION("""COMPUTED_VALUE"""),45790.0)</f>
        <v>45790</v>
      </c>
      <c r="G1591" s="12"/>
      <c r="H1591" s="12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</row>
    <row r="1592">
      <c r="A1592" s="11" t="str">
        <f>IFERROR(__xludf.DUMMYFUNCTION("""COMPUTED_VALUE"""),"Allstate Corp  Com")</f>
        <v>Allstate Corp  Com</v>
      </c>
      <c r="B1592" s="12" t="str">
        <f>IFERROR(__xludf.DUMMYFUNCTION("""COMPUTED_VALUE"""),"ALL-US")</f>
        <v>ALL-US</v>
      </c>
      <c r="C1592" s="12"/>
      <c r="D1592" s="13">
        <f>IFERROR(__xludf.DUMMYFUNCTION("""COMPUTED_VALUE"""),45449.0)</f>
        <v>45449</v>
      </c>
      <c r="E1592" s="13">
        <f>IFERROR(__xludf.DUMMYFUNCTION("""COMPUTED_VALUE"""),45806.0)</f>
        <v>45806</v>
      </c>
      <c r="F1592" s="13">
        <f>IFERROR(__xludf.DUMMYFUNCTION("""COMPUTED_VALUE"""),45806.0)</f>
        <v>45806</v>
      </c>
      <c r="G1592" s="12"/>
      <c r="H1592" s="12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</row>
    <row r="1593">
      <c r="A1593" s="11" t="str">
        <f>IFERROR(__xludf.DUMMYFUNCTION("""COMPUTED_VALUE"""),"Prudential Financial Inc  Com")</f>
        <v>Prudential Financial Inc  Com</v>
      </c>
      <c r="B1593" s="12" t="str">
        <f>IFERROR(__xludf.DUMMYFUNCTION("""COMPUTED_VALUE"""),"PRU-US")</f>
        <v>PRU-US</v>
      </c>
      <c r="C1593" s="12"/>
      <c r="D1593" s="13">
        <f>IFERROR(__xludf.DUMMYFUNCTION("""COMPUTED_VALUE"""),45449.0)</f>
        <v>45449</v>
      </c>
      <c r="E1593" s="13">
        <f>IFERROR(__xludf.DUMMYFUNCTION("""COMPUTED_VALUE"""),45790.0)</f>
        <v>45790</v>
      </c>
      <c r="F1593" s="13">
        <f>IFERROR(__xludf.DUMMYFUNCTION("""COMPUTED_VALUE"""),45790.0)</f>
        <v>45790</v>
      </c>
      <c r="G1593" s="12"/>
      <c r="H1593" s="12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</row>
    <row r="1594">
      <c r="A1594" s="11" t="str">
        <f>IFERROR(__xludf.DUMMYFUNCTION("""COMPUTED_VALUE"""),"Centene Corp  Com")</f>
        <v>Centene Corp  Com</v>
      </c>
      <c r="B1594" s="12" t="str">
        <f>IFERROR(__xludf.DUMMYFUNCTION("""COMPUTED_VALUE"""),"CNC-US")</f>
        <v>CNC-US</v>
      </c>
      <c r="C1594" s="12"/>
      <c r="D1594" s="13">
        <f>IFERROR(__xludf.DUMMYFUNCTION("""COMPUTED_VALUE"""),45449.0)</f>
        <v>45449</v>
      </c>
      <c r="E1594" s="13">
        <f>IFERROR(__xludf.DUMMYFUNCTION("""COMPUTED_VALUE"""),45790.0)</f>
        <v>45790</v>
      </c>
      <c r="F1594" s="13">
        <f>IFERROR(__xludf.DUMMYFUNCTION("""COMPUTED_VALUE"""),45790.0)</f>
        <v>45790</v>
      </c>
      <c r="G1594" s="12"/>
      <c r="H1594" s="12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</row>
    <row r="1595">
      <c r="A1595" s="11" t="str">
        <f>IFERROR(__xludf.DUMMYFUNCTION("""COMPUTED_VALUE"""),"Ventas Inc  Com")</f>
        <v>Ventas Inc  Com</v>
      </c>
      <c r="B1595" s="12" t="str">
        <f>IFERROR(__xludf.DUMMYFUNCTION("""COMPUTED_VALUE"""),"VTR-US")</f>
        <v>VTR-US</v>
      </c>
      <c r="C1595" s="12"/>
      <c r="D1595" s="13">
        <f>IFERROR(__xludf.DUMMYFUNCTION("""COMPUTED_VALUE"""),45449.0)</f>
        <v>45449</v>
      </c>
      <c r="E1595" s="13">
        <f>IFERROR(__xludf.DUMMYFUNCTION("""COMPUTED_VALUE"""),45790.0)</f>
        <v>45790</v>
      </c>
      <c r="F1595" s="13">
        <f>IFERROR(__xludf.DUMMYFUNCTION("""COMPUTED_VALUE"""),45790.0)</f>
        <v>45790</v>
      </c>
      <c r="G1595" s="12"/>
      <c r="H1595" s="12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</row>
    <row r="1596">
      <c r="A1596" s="11" t="str">
        <f>IFERROR(__xludf.DUMMYFUNCTION("""COMPUTED_VALUE"""),"Labcorp Holdings Inc  Com")</f>
        <v>Labcorp Holdings Inc  Com</v>
      </c>
      <c r="B1596" s="12" t="str">
        <f>IFERROR(__xludf.DUMMYFUNCTION("""COMPUTED_VALUE"""),"LH-US")</f>
        <v>LH-US</v>
      </c>
      <c r="C1596" s="12"/>
      <c r="D1596" s="13">
        <f>IFERROR(__xludf.DUMMYFUNCTION("""COMPUTED_VALUE"""),45449.0)</f>
        <v>45449</v>
      </c>
      <c r="E1596" s="13">
        <f>IFERROR(__xludf.DUMMYFUNCTION("""COMPUTED_VALUE"""),45792.0)</f>
        <v>45792</v>
      </c>
      <c r="F1596" s="13">
        <f>IFERROR(__xludf.DUMMYFUNCTION("""COMPUTED_VALUE"""),45792.0)</f>
        <v>45792</v>
      </c>
      <c r="G1596" s="12"/>
      <c r="H1596" s="12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</row>
    <row r="1597">
      <c r="A1597" s="11" t="str">
        <f>IFERROR(__xludf.DUMMYFUNCTION("""COMPUTED_VALUE"""),"Essex Property Trust Inc  Com")</f>
        <v>Essex Property Trust Inc  Com</v>
      </c>
      <c r="B1597" s="12" t="str">
        <f>IFERROR(__xludf.DUMMYFUNCTION("""COMPUTED_VALUE"""),"ESS-US")</f>
        <v>ESS-US</v>
      </c>
      <c r="C1597" s="12"/>
      <c r="D1597" s="13">
        <f>IFERROR(__xludf.DUMMYFUNCTION("""COMPUTED_VALUE"""),45449.0)</f>
        <v>45449</v>
      </c>
      <c r="E1597" s="13">
        <f>IFERROR(__xludf.DUMMYFUNCTION("""COMPUTED_VALUE"""),45790.0)</f>
        <v>45790</v>
      </c>
      <c r="F1597" s="13">
        <f>IFERROR(__xludf.DUMMYFUNCTION("""COMPUTED_VALUE"""),45790.0)</f>
        <v>45790</v>
      </c>
      <c r="G1597" s="12"/>
      <c r="H1597" s="12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</row>
    <row r="1598">
      <c r="A1598" s="11" t="str">
        <f>IFERROR(__xludf.DUMMYFUNCTION("""COMPUTED_VALUE"""),"Sun Communities Inc  Com")</f>
        <v>Sun Communities Inc  Com</v>
      </c>
      <c r="B1598" s="12" t="str">
        <f>IFERROR(__xludf.DUMMYFUNCTION("""COMPUTED_VALUE"""),"SUI-US")</f>
        <v>SUI-US</v>
      </c>
      <c r="C1598" s="12"/>
      <c r="D1598" s="13">
        <f>IFERROR(__xludf.DUMMYFUNCTION("""COMPUTED_VALUE"""),45449.0)</f>
        <v>45449</v>
      </c>
      <c r="E1598" s="13">
        <f>IFERROR(__xludf.DUMMYFUNCTION("""COMPUTED_VALUE"""),45790.0)</f>
        <v>45790</v>
      </c>
      <c r="F1598" s="13">
        <f>IFERROR(__xludf.DUMMYFUNCTION("""COMPUTED_VALUE"""),45790.0)</f>
        <v>45790</v>
      </c>
      <c r="G1598" s="12"/>
      <c r="H1598" s="12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</row>
    <row r="1599">
      <c r="A1599" s="11" t="str">
        <f>IFERROR(__xludf.DUMMYFUNCTION("""COMPUTED_VALUE"""),"Skyworks Solutions Inc  Com")</f>
        <v>Skyworks Solutions Inc  Com</v>
      </c>
      <c r="B1599" s="12" t="str">
        <f>IFERROR(__xludf.DUMMYFUNCTION("""COMPUTED_VALUE"""),"SWKS-US")</f>
        <v>SWKS-US</v>
      </c>
      <c r="C1599" s="12"/>
      <c r="D1599" s="13">
        <f>IFERROR(__xludf.DUMMYFUNCTION("""COMPUTED_VALUE"""),45449.0)</f>
        <v>45449</v>
      </c>
      <c r="E1599" s="13">
        <f>IFERROR(__xludf.DUMMYFUNCTION("""COMPUTED_VALUE"""),45791.0)</f>
        <v>45791</v>
      </c>
      <c r="F1599" s="13">
        <f>IFERROR(__xludf.DUMMYFUNCTION("""COMPUTED_VALUE"""),45791.0)</f>
        <v>45791</v>
      </c>
      <c r="G1599" s="12"/>
      <c r="H1599" s="12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</row>
    <row r="1600">
      <c r="A1600" s="11" t="str">
        <f>IFERROR(__xludf.DUMMYFUNCTION("""COMPUTED_VALUE"""),"Loews Corp  Com")</f>
        <v>Loews Corp  Com</v>
      </c>
      <c r="B1600" s="12" t="str">
        <f>IFERROR(__xludf.DUMMYFUNCTION("""COMPUTED_VALUE"""),"L-US")</f>
        <v>L-US</v>
      </c>
      <c r="C1600" s="12"/>
      <c r="D1600" s="13">
        <f>IFERROR(__xludf.DUMMYFUNCTION("""COMPUTED_VALUE"""),45449.0)</f>
        <v>45449</v>
      </c>
      <c r="E1600" s="13">
        <f>IFERROR(__xludf.DUMMYFUNCTION("""COMPUTED_VALUE"""),45790.0)</f>
        <v>45790</v>
      </c>
      <c r="F1600" s="13">
        <f>IFERROR(__xludf.DUMMYFUNCTION("""COMPUTED_VALUE"""),45790.0)</f>
        <v>45790</v>
      </c>
      <c r="G1600" s="12"/>
      <c r="H1600" s="12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</row>
    <row r="1601">
      <c r="A1601" s="11" t="str">
        <f>IFERROR(__xludf.DUMMYFUNCTION("""COMPUTED_VALUE"""),"Mastec Inc  Com")</f>
        <v>Mastec Inc  Com</v>
      </c>
      <c r="B1601" s="12" t="str">
        <f>IFERROR(__xludf.DUMMYFUNCTION("""COMPUTED_VALUE"""),"MTZ-US")</f>
        <v>MTZ-US</v>
      </c>
      <c r="C1601" s="12"/>
      <c r="D1601" s="13">
        <f>IFERROR(__xludf.DUMMYFUNCTION("""COMPUTED_VALUE"""),45449.0)</f>
        <v>45449</v>
      </c>
      <c r="E1601" s="13">
        <f>IFERROR(__xludf.DUMMYFUNCTION("""COMPUTED_VALUE"""),45799.0)</f>
        <v>45799</v>
      </c>
      <c r="F1601" s="13">
        <f>IFERROR(__xludf.DUMMYFUNCTION("""COMPUTED_VALUE"""),45799.0)</f>
        <v>45799</v>
      </c>
      <c r="G1601" s="12"/>
      <c r="H1601" s="12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</row>
    <row r="1602">
      <c r="A1602" s="11" t="str">
        <f>IFERROR(__xludf.DUMMYFUNCTION("""COMPUTED_VALUE"""),"Knight Swift Transportation Co Cl A")</f>
        <v>Knight Swift Transportation Co Cl A</v>
      </c>
      <c r="B1602" s="12" t="str">
        <f>IFERROR(__xludf.DUMMYFUNCTION("""COMPUTED_VALUE"""),"KNX-US")</f>
        <v>KNX-US</v>
      </c>
      <c r="C1602" s="12"/>
      <c r="D1602" s="13">
        <f>IFERROR(__xludf.DUMMYFUNCTION("""COMPUTED_VALUE"""),45449.0)</f>
        <v>45449</v>
      </c>
      <c r="E1602" s="13">
        <f>IFERROR(__xludf.DUMMYFUNCTION("""COMPUTED_VALUE"""),45790.0)</f>
        <v>45790</v>
      </c>
      <c r="F1602" s="13">
        <f>IFERROR(__xludf.DUMMYFUNCTION("""COMPUTED_VALUE"""),45790.0)</f>
        <v>45790</v>
      </c>
      <c r="G1602" s="12"/>
      <c r="H1602" s="12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</row>
    <row r="1603">
      <c r="A1603" s="11" t="str">
        <f>IFERROR(__xludf.DUMMYFUNCTION("""COMPUTED_VALUE"""),"Coca Cola Consolidated Inc  Com")</f>
        <v>Coca Cola Consolidated Inc  Com</v>
      </c>
      <c r="B1603" s="12" t="str">
        <f>IFERROR(__xludf.DUMMYFUNCTION("""COMPUTED_VALUE"""),"COKE-US")</f>
        <v>COKE-US</v>
      </c>
      <c r="C1603" s="12"/>
      <c r="D1603" s="13">
        <f>IFERROR(__xludf.DUMMYFUNCTION("""COMPUTED_VALUE"""),45449.0)</f>
        <v>45449</v>
      </c>
      <c r="E1603" s="13">
        <f>IFERROR(__xludf.DUMMYFUNCTION("""COMPUTED_VALUE"""),45790.0)</f>
        <v>45790</v>
      </c>
      <c r="F1603" s="13">
        <f>IFERROR(__xludf.DUMMYFUNCTION("""COMPUTED_VALUE"""),45790.0)</f>
        <v>45790</v>
      </c>
      <c r="G1603" s="12"/>
      <c r="H1603" s="12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</row>
    <row r="1604">
      <c r="A1604" s="11" t="str">
        <f>IFERROR(__xludf.DUMMYFUNCTION("""COMPUTED_VALUE"""),"Middleby Corp  Com")</f>
        <v>Middleby Corp  Com</v>
      </c>
      <c r="B1604" s="12" t="str">
        <f>IFERROR(__xludf.DUMMYFUNCTION("""COMPUTED_VALUE"""),"MIDD-US")</f>
        <v>MIDD-US</v>
      </c>
      <c r="C1604" s="12"/>
      <c r="D1604" s="13">
        <f>IFERROR(__xludf.DUMMYFUNCTION("""COMPUTED_VALUE"""),45449.0)</f>
        <v>45449</v>
      </c>
      <c r="E1604" s="13">
        <f>IFERROR(__xludf.DUMMYFUNCTION("""COMPUTED_VALUE"""),45791.0)</f>
        <v>45791</v>
      </c>
      <c r="F1604" s="13">
        <f>IFERROR(__xludf.DUMMYFUNCTION("""COMPUTED_VALUE"""),45791.0)</f>
        <v>45791</v>
      </c>
      <c r="G1604" s="12"/>
      <c r="H1604" s="12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</row>
    <row r="1605">
      <c r="A1605" s="11" t="str">
        <f>IFERROR(__xludf.DUMMYFUNCTION("""COMPUTED_VALUE"""),"Spx Technologies Inc  Com")</f>
        <v>Spx Technologies Inc  Com</v>
      </c>
      <c r="B1605" s="12" t="str">
        <f>IFERROR(__xludf.DUMMYFUNCTION("""COMPUTED_VALUE"""),"SPXC-US")</f>
        <v>SPXC-US</v>
      </c>
      <c r="C1605" s="12"/>
      <c r="D1605" s="13">
        <f>IFERROR(__xludf.DUMMYFUNCTION("""COMPUTED_VALUE"""),45449.0)</f>
        <v>45449</v>
      </c>
      <c r="E1605" s="13">
        <f>IFERROR(__xludf.DUMMYFUNCTION("""COMPUTED_VALUE"""),45790.0)</f>
        <v>45790</v>
      </c>
      <c r="F1605" s="13">
        <f>IFERROR(__xludf.DUMMYFUNCTION("""COMPUTED_VALUE"""),45790.0)</f>
        <v>45790</v>
      </c>
      <c r="G1605" s="12"/>
      <c r="H1605" s="12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</row>
    <row r="1606">
      <c r="A1606" s="11" t="str">
        <f>IFERROR(__xludf.DUMMYFUNCTION("""COMPUTED_VALUE"""),"Dutch Bros Inc  Cl A")</f>
        <v>Dutch Bros Inc  Cl A</v>
      </c>
      <c r="B1606" s="12" t="str">
        <f>IFERROR(__xludf.DUMMYFUNCTION("""COMPUTED_VALUE"""),"BROS-US")</f>
        <v>BROS-US</v>
      </c>
      <c r="C1606" s="12"/>
      <c r="D1606" s="13">
        <f>IFERROR(__xludf.DUMMYFUNCTION("""COMPUTED_VALUE"""),45449.0)</f>
        <v>45449</v>
      </c>
      <c r="E1606" s="13">
        <f>IFERROR(__xludf.DUMMYFUNCTION("""COMPUTED_VALUE"""),45790.0)</f>
        <v>45790</v>
      </c>
      <c r="F1606" s="13">
        <f>IFERROR(__xludf.DUMMYFUNCTION("""COMPUTED_VALUE"""),45790.0)</f>
        <v>45790</v>
      </c>
      <c r="G1606" s="12"/>
      <c r="H1606" s="12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</row>
    <row r="1607">
      <c r="A1607" s="11" t="str">
        <f>IFERROR(__xludf.DUMMYFUNCTION("""COMPUTED_VALUE"""),"Knife River Corp  Com")</f>
        <v>Knife River Corp  Com</v>
      </c>
      <c r="B1607" s="12" t="str">
        <f>IFERROR(__xludf.DUMMYFUNCTION("""COMPUTED_VALUE"""),"KNF-US")</f>
        <v>KNF-US</v>
      </c>
      <c r="C1607" s="12"/>
      <c r="D1607" s="13">
        <f>IFERROR(__xludf.DUMMYFUNCTION("""COMPUTED_VALUE"""),45449.0)</f>
        <v>45449</v>
      </c>
      <c r="E1607" s="13">
        <f>IFERROR(__xludf.DUMMYFUNCTION("""COMPUTED_VALUE"""),45799.0)</f>
        <v>45799</v>
      </c>
      <c r="F1607" s="13">
        <f>IFERROR(__xludf.DUMMYFUNCTION("""COMPUTED_VALUE"""),45799.0)</f>
        <v>45799</v>
      </c>
      <c r="G1607" s="12"/>
      <c r="H1607" s="12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</row>
    <row r="1608">
      <c r="A1608" s="11" t="str">
        <f>IFERROR(__xludf.DUMMYFUNCTION("""COMPUTED_VALUE"""),"Hanover Insurance Group Inc  Com")</f>
        <v>Hanover Insurance Group Inc  Com</v>
      </c>
      <c r="B1608" s="12" t="str">
        <f>IFERROR(__xludf.DUMMYFUNCTION("""COMPUTED_VALUE"""),"THG-US")</f>
        <v>THG-US</v>
      </c>
      <c r="C1608" s="12"/>
      <c r="D1608" s="13">
        <f>IFERROR(__xludf.DUMMYFUNCTION("""COMPUTED_VALUE"""),45449.0)</f>
        <v>45449</v>
      </c>
      <c r="E1608" s="13">
        <f>IFERROR(__xludf.DUMMYFUNCTION("""COMPUTED_VALUE"""),45790.0)</f>
        <v>45790</v>
      </c>
      <c r="F1608" s="13">
        <f>IFERROR(__xludf.DUMMYFUNCTION("""COMPUTED_VALUE"""),45790.0)</f>
        <v>45790</v>
      </c>
      <c r="G1608" s="12"/>
      <c r="H1608" s="12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</row>
    <row r="1609">
      <c r="A1609" s="11" t="str">
        <f>IFERROR(__xludf.DUMMYFUNCTION("""COMPUTED_VALUE"""),"Wayfair Inc  Cl A")</f>
        <v>Wayfair Inc  Cl A</v>
      </c>
      <c r="B1609" s="12" t="str">
        <f>IFERROR(__xludf.DUMMYFUNCTION("""COMPUTED_VALUE"""),"W-US")</f>
        <v>W-US</v>
      </c>
      <c r="C1609" s="12"/>
      <c r="D1609" s="13">
        <f>IFERROR(__xludf.DUMMYFUNCTION("""COMPUTED_VALUE"""),45449.0)</f>
        <v>45449</v>
      </c>
      <c r="E1609" s="13">
        <f>IFERROR(__xludf.DUMMYFUNCTION("""COMPUTED_VALUE"""),45797.0)</f>
        <v>45797</v>
      </c>
      <c r="F1609" s="13">
        <f>IFERROR(__xludf.DUMMYFUNCTION("""COMPUTED_VALUE"""),45797.0)</f>
        <v>45797</v>
      </c>
      <c r="G1609" s="12"/>
      <c r="H1609" s="12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</row>
    <row r="1610">
      <c r="A1610" s="11" t="str">
        <f>IFERROR(__xludf.DUMMYFUNCTION("""COMPUTED_VALUE"""),"Frontdoor Inc  Com")</f>
        <v>Frontdoor Inc  Com</v>
      </c>
      <c r="B1610" s="12" t="str">
        <f>IFERROR(__xludf.DUMMYFUNCTION("""COMPUTED_VALUE"""),"FTDR-US")</f>
        <v>FTDR-US</v>
      </c>
      <c r="C1610" s="12"/>
      <c r="D1610" s="13">
        <f>IFERROR(__xludf.DUMMYFUNCTION("""COMPUTED_VALUE"""),45449.0)</f>
        <v>45449</v>
      </c>
      <c r="E1610" s="13">
        <f>IFERROR(__xludf.DUMMYFUNCTION("""COMPUTED_VALUE"""),45791.0)</f>
        <v>45791</v>
      </c>
      <c r="F1610" s="13">
        <f>IFERROR(__xludf.DUMMYFUNCTION("""COMPUTED_VALUE"""),45791.0)</f>
        <v>45791</v>
      </c>
      <c r="G1610" s="12"/>
      <c r="H1610" s="12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</row>
    <row r="1611">
      <c r="A1611" s="11" t="str">
        <f>IFERROR(__xludf.DUMMYFUNCTION("""COMPUTED_VALUE"""),"Cactus Inc  Cl A")</f>
        <v>Cactus Inc  Cl A</v>
      </c>
      <c r="B1611" s="12" t="str">
        <f>IFERROR(__xludf.DUMMYFUNCTION("""COMPUTED_VALUE"""),"WHD-US")</f>
        <v>WHD-US</v>
      </c>
      <c r="C1611" s="12"/>
      <c r="D1611" s="13">
        <f>IFERROR(__xludf.DUMMYFUNCTION("""COMPUTED_VALUE"""),45449.0)</f>
        <v>45449</v>
      </c>
      <c r="E1611" s="13">
        <f>IFERROR(__xludf.DUMMYFUNCTION("""COMPUTED_VALUE"""),45790.0)</f>
        <v>45790</v>
      </c>
      <c r="F1611" s="13">
        <f>IFERROR(__xludf.DUMMYFUNCTION("""COMPUTED_VALUE"""),45790.0)</f>
        <v>45790</v>
      </c>
      <c r="G1611" s="12"/>
      <c r="H1611" s="12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</row>
    <row r="1612">
      <c r="A1612" s="11" t="str">
        <f>IFERROR(__xludf.DUMMYFUNCTION("""COMPUTED_VALUE"""),"Allete Inc  Com")</f>
        <v>Allete Inc  Com</v>
      </c>
      <c r="B1612" s="12" t="str">
        <f>IFERROR(__xludf.DUMMYFUNCTION("""COMPUTED_VALUE"""),"ALE-US")</f>
        <v>ALE-US</v>
      </c>
      <c r="C1612" s="12"/>
      <c r="D1612" s="13">
        <f>IFERROR(__xludf.DUMMYFUNCTION("""COMPUTED_VALUE"""),45449.0)</f>
        <v>45449</v>
      </c>
      <c r="E1612" s="13">
        <f>IFERROR(__xludf.DUMMYFUNCTION("""COMPUTED_VALUE"""),45790.0)</f>
        <v>45790</v>
      </c>
      <c r="F1612" s="13">
        <f>IFERROR(__xludf.DUMMYFUNCTION("""COMPUTED_VALUE"""),45790.0)</f>
        <v>45790</v>
      </c>
      <c r="G1612" s="12"/>
      <c r="H1612" s="12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</row>
    <row r="1613">
      <c r="A1613" s="11" t="str">
        <f>IFERROR(__xludf.DUMMYFUNCTION("""COMPUTED_VALUE"""),"Mdu Resources Group Inc  Com")</f>
        <v>Mdu Resources Group Inc  Com</v>
      </c>
      <c r="B1613" s="12" t="str">
        <f>IFERROR(__xludf.DUMMYFUNCTION("""COMPUTED_VALUE"""),"MDU-US")</f>
        <v>MDU-US</v>
      </c>
      <c r="C1613" s="12"/>
      <c r="D1613" s="13">
        <f>IFERROR(__xludf.DUMMYFUNCTION("""COMPUTED_VALUE"""),45449.0)</f>
        <v>45449</v>
      </c>
      <c r="E1613" s="13">
        <f>IFERROR(__xludf.DUMMYFUNCTION("""COMPUTED_VALUE"""),45790.0)</f>
        <v>45790</v>
      </c>
      <c r="F1613" s="13">
        <f>IFERROR(__xludf.DUMMYFUNCTION("""COMPUTED_VALUE"""),45790.0)</f>
        <v>45790</v>
      </c>
      <c r="G1613" s="12"/>
      <c r="H1613" s="12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</row>
    <row r="1614">
      <c r="A1614" s="11" t="str">
        <f>IFERROR(__xludf.DUMMYFUNCTION("""COMPUTED_VALUE"""),"Atmus Filtration Technologies  Com")</f>
        <v>Atmus Filtration Technologies  Com</v>
      </c>
      <c r="B1614" s="12" t="str">
        <f>IFERROR(__xludf.DUMMYFUNCTION("""COMPUTED_VALUE"""),"ATMU-US")</f>
        <v>ATMU-US</v>
      </c>
      <c r="C1614" s="12"/>
      <c r="D1614" s="13">
        <f>IFERROR(__xludf.DUMMYFUNCTION("""COMPUTED_VALUE"""),45449.0)</f>
        <v>45449</v>
      </c>
      <c r="E1614" s="13">
        <f>IFERROR(__xludf.DUMMYFUNCTION("""COMPUTED_VALUE"""),45797.0)</f>
        <v>45797</v>
      </c>
      <c r="F1614" s="13">
        <f>IFERROR(__xludf.DUMMYFUNCTION("""COMPUTED_VALUE"""),45797.0)</f>
        <v>45797</v>
      </c>
      <c r="G1614" s="12"/>
      <c r="H1614" s="12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</row>
    <row r="1615">
      <c r="A1615" s="11" t="str">
        <f>IFERROR(__xludf.DUMMYFUNCTION("""COMPUTED_VALUE"""),"Teradata Corp  Com")</f>
        <v>Teradata Corp  Com</v>
      </c>
      <c r="B1615" s="12" t="str">
        <f>IFERROR(__xludf.DUMMYFUNCTION("""COMPUTED_VALUE"""),"TDC-US")</f>
        <v>TDC-US</v>
      </c>
      <c r="C1615" s="12"/>
      <c r="D1615" s="13">
        <f>IFERROR(__xludf.DUMMYFUNCTION("""COMPUTED_VALUE"""),45449.0)</f>
        <v>45449</v>
      </c>
      <c r="E1615" s="13">
        <f>IFERROR(__xludf.DUMMYFUNCTION("""COMPUTED_VALUE"""),45792.0)</f>
        <v>45792</v>
      </c>
      <c r="F1615" s="13">
        <f>IFERROR(__xludf.DUMMYFUNCTION("""COMPUTED_VALUE"""),45792.0)</f>
        <v>45792</v>
      </c>
      <c r="G1615" s="12"/>
      <c r="H1615" s="12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</row>
    <row r="1616">
      <c r="A1616" s="11" t="str">
        <f>IFERROR(__xludf.DUMMYFUNCTION("""COMPUTED_VALUE"""),"Highwoods Properties Inc  Com")</f>
        <v>Highwoods Properties Inc  Com</v>
      </c>
      <c r="B1616" s="12" t="str">
        <f>IFERROR(__xludf.DUMMYFUNCTION("""COMPUTED_VALUE"""),"HIW-US")</f>
        <v>HIW-US</v>
      </c>
      <c r="C1616" s="12"/>
      <c r="D1616" s="13">
        <f>IFERROR(__xludf.DUMMYFUNCTION("""COMPUTED_VALUE"""),45449.0)</f>
        <v>45449</v>
      </c>
      <c r="E1616" s="13">
        <f>IFERROR(__xludf.DUMMYFUNCTION("""COMPUTED_VALUE"""),45790.0)</f>
        <v>45790</v>
      </c>
      <c r="F1616" s="13">
        <f>IFERROR(__xludf.DUMMYFUNCTION("""COMPUTED_VALUE"""),45790.0)</f>
        <v>45790</v>
      </c>
      <c r="G1616" s="12"/>
      <c r="H1616" s="12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</row>
    <row r="1617">
      <c r="A1617" s="11" t="str">
        <f>IFERROR(__xludf.DUMMYFUNCTION("""COMPUTED_VALUE"""),"Five9 Inc  Com")</f>
        <v>Five9 Inc  Com</v>
      </c>
      <c r="B1617" s="12" t="str">
        <f>IFERROR(__xludf.DUMMYFUNCTION("""COMPUTED_VALUE"""),"FIVN-US")</f>
        <v>FIVN-US</v>
      </c>
      <c r="C1617" s="12"/>
      <c r="D1617" s="13">
        <f>IFERROR(__xludf.DUMMYFUNCTION("""COMPUTED_VALUE"""),45449.0)</f>
        <v>45449</v>
      </c>
      <c r="E1617" s="13">
        <f>IFERROR(__xludf.DUMMYFUNCTION("""COMPUTED_VALUE"""),45798.0)</f>
        <v>45798</v>
      </c>
      <c r="F1617" s="13">
        <f>IFERROR(__xludf.DUMMYFUNCTION("""COMPUTED_VALUE"""),45798.0)</f>
        <v>45798</v>
      </c>
      <c r="G1617" s="12"/>
      <c r="H1617" s="12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</row>
    <row r="1618">
      <c r="A1618" s="11" t="str">
        <f>IFERROR(__xludf.DUMMYFUNCTION("""COMPUTED_VALUE"""),"Quidelortho Corp  Com")</f>
        <v>Quidelortho Corp  Com</v>
      </c>
      <c r="B1618" s="12" t="str">
        <f>IFERROR(__xludf.DUMMYFUNCTION("""COMPUTED_VALUE"""),"QDEL-US")</f>
        <v>QDEL-US</v>
      </c>
      <c r="C1618" s="12"/>
      <c r="D1618" s="13">
        <f>IFERROR(__xludf.DUMMYFUNCTION("""COMPUTED_VALUE"""),45449.0)</f>
        <v>45449</v>
      </c>
      <c r="E1618" s="13">
        <f>IFERROR(__xludf.DUMMYFUNCTION("""COMPUTED_VALUE"""),45797.0)</f>
        <v>45797</v>
      </c>
      <c r="F1618" s="13">
        <f>IFERROR(__xludf.DUMMYFUNCTION("""COMPUTED_VALUE"""),45797.0)</f>
        <v>45797</v>
      </c>
      <c r="G1618" s="12"/>
      <c r="H1618" s="12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</row>
    <row r="1619">
      <c r="A1619" s="11" t="str">
        <f>IFERROR(__xludf.DUMMYFUNCTION("""COMPUTED_VALUE"""),"Amkor Technology Inc  Com")</f>
        <v>Amkor Technology Inc  Com</v>
      </c>
      <c r="B1619" s="12" t="str">
        <f>IFERROR(__xludf.DUMMYFUNCTION("""COMPUTED_VALUE"""),"AMKR-US")</f>
        <v>AMKR-US</v>
      </c>
      <c r="C1619" s="12"/>
      <c r="D1619" s="13">
        <f>IFERROR(__xludf.DUMMYFUNCTION("""COMPUTED_VALUE"""),45449.0)</f>
        <v>45449</v>
      </c>
      <c r="E1619" s="13">
        <f>IFERROR(__xludf.DUMMYFUNCTION("""COMPUTED_VALUE"""),45792.0)</f>
        <v>45792</v>
      </c>
      <c r="F1619" s="13">
        <f>IFERROR(__xludf.DUMMYFUNCTION("""COMPUTED_VALUE"""),45792.0)</f>
        <v>45792</v>
      </c>
      <c r="G1619" s="12"/>
      <c r="H1619" s="12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</row>
    <row r="1620">
      <c r="A1620" s="11" t="str">
        <f>IFERROR(__xludf.DUMMYFUNCTION("""COMPUTED_VALUE"""),"Bread Financial Holdings Inc  Com")</f>
        <v>Bread Financial Holdings Inc  Com</v>
      </c>
      <c r="B1620" s="12" t="str">
        <f>IFERROR(__xludf.DUMMYFUNCTION("""COMPUTED_VALUE"""),"BFH-US")</f>
        <v>BFH-US</v>
      </c>
      <c r="C1620" s="12"/>
      <c r="D1620" s="13">
        <f>IFERROR(__xludf.DUMMYFUNCTION("""COMPUTED_VALUE"""),45449.0)</f>
        <v>45449</v>
      </c>
      <c r="E1620" s="13">
        <f>IFERROR(__xludf.DUMMYFUNCTION("""COMPUTED_VALUE"""),45790.0)</f>
        <v>45790</v>
      </c>
      <c r="F1620" s="13">
        <f>IFERROR(__xludf.DUMMYFUNCTION("""COMPUTED_VALUE"""),45790.0)</f>
        <v>45790</v>
      </c>
      <c r="G1620" s="12"/>
      <c r="H1620" s="12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</row>
    <row r="1621">
      <c r="A1621" s="11" t="str">
        <f>IFERROR(__xludf.DUMMYFUNCTION("""COMPUTED_VALUE"""),"Coeur Mining Inc  Com")</f>
        <v>Coeur Mining Inc  Com</v>
      </c>
      <c r="B1621" s="12" t="str">
        <f>IFERROR(__xludf.DUMMYFUNCTION("""COMPUTED_VALUE"""),"CDE-US")</f>
        <v>CDE-US</v>
      </c>
      <c r="C1621" s="12"/>
      <c r="D1621" s="13">
        <f>IFERROR(__xludf.DUMMYFUNCTION("""COMPUTED_VALUE"""),45449.0)</f>
        <v>45449</v>
      </c>
      <c r="E1621" s="13">
        <f>IFERROR(__xludf.DUMMYFUNCTION("""COMPUTED_VALUE"""),45790.0)</f>
        <v>45790</v>
      </c>
      <c r="F1621" s="13">
        <f>IFERROR(__xludf.DUMMYFUNCTION("""COMPUTED_VALUE"""),45790.0)</f>
        <v>45790</v>
      </c>
      <c r="G1621" s="12"/>
      <c r="H1621" s="12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</row>
    <row r="1622">
      <c r="A1622" s="11" t="str">
        <f>IFERROR(__xludf.DUMMYFUNCTION("""COMPUTED_VALUE"""),"Werner Enterprises Inc  Com")</f>
        <v>Werner Enterprises Inc  Com</v>
      </c>
      <c r="B1622" s="12" t="str">
        <f>IFERROR(__xludf.DUMMYFUNCTION("""COMPUTED_VALUE"""),"WERN-US")</f>
        <v>WERN-US</v>
      </c>
      <c r="C1622" s="12"/>
      <c r="D1622" s="13">
        <f>IFERROR(__xludf.DUMMYFUNCTION("""COMPUTED_VALUE"""),45449.0)</f>
        <v>45449</v>
      </c>
      <c r="E1622" s="13">
        <f>IFERROR(__xludf.DUMMYFUNCTION("""COMPUTED_VALUE"""),45790.0)</f>
        <v>45790</v>
      </c>
      <c r="F1622" s="13">
        <f>IFERROR(__xludf.DUMMYFUNCTION("""COMPUTED_VALUE"""),45790.0)</f>
        <v>45790</v>
      </c>
      <c r="G1622" s="12"/>
      <c r="H1622" s="12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</row>
    <row r="1623">
      <c r="A1623" s="11" t="str">
        <f>IFERROR(__xludf.DUMMYFUNCTION("""COMPUTED_VALUE"""),"International Game Technology  Ord")</f>
        <v>International Game Technology  Ord</v>
      </c>
      <c r="B1623" s="12" t="str">
        <f>IFERROR(__xludf.DUMMYFUNCTION("""COMPUTED_VALUE"""),"IGT-US")</f>
        <v>IGT-US</v>
      </c>
      <c r="C1623" s="12"/>
      <c r="D1623" s="13">
        <f>IFERROR(__xludf.DUMMYFUNCTION("""COMPUTED_VALUE"""),45449.0)</f>
        <v>45449</v>
      </c>
      <c r="E1623" s="13">
        <f>IFERROR(__xludf.DUMMYFUNCTION("""COMPUTED_VALUE"""),45790.0)</f>
        <v>45790</v>
      </c>
      <c r="F1623" s="13">
        <f>IFERROR(__xludf.DUMMYFUNCTION("""COMPUTED_VALUE"""),45790.0)</f>
        <v>45790</v>
      </c>
      <c r="G1623" s="12"/>
      <c r="H1623" s="12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</row>
    <row r="1624">
      <c r="A1624" s="11" t="str">
        <f>IFERROR(__xludf.DUMMYFUNCTION("""COMPUTED_VALUE"""),"Xenia Hotels &amp; Resorts Inc  Com")</f>
        <v>Xenia Hotels &amp; Resorts Inc  Com</v>
      </c>
      <c r="B1624" s="12" t="str">
        <f>IFERROR(__xludf.DUMMYFUNCTION("""COMPUTED_VALUE"""),"XHR-US")</f>
        <v>XHR-US</v>
      </c>
      <c r="C1624" s="12"/>
      <c r="D1624" s="13">
        <f>IFERROR(__xludf.DUMMYFUNCTION("""COMPUTED_VALUE"""),45449.0)</f>
        <v>45449</v>
      </c>
      <c r="E1624" s="13">
        <f>IFERROR(__xludf.DUMMYFUNCTION("""COMPUTED_VALUE"""),45790.0)</f>
        <v>45790</v>
      </c>
      <c r="F1624" s="13">
        <f>IFERROR(__xludf.DUMMYFUNCTION("""COMPUTED_VALUE"""),45790.0)</f>
        <v>45790</v>
      </c>
      <c r="G1624" s="12"/>
      <c r="H1624" s="12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</row>
    <row r="1625">
      <c r="A1625" s="11" t="str">
        <f>IFERROR(__xludf.DUMMYFUNCTION("""COMPUTED_VALUE"""),"Fortrea Hldigs Inc  Com Wi")</f>
        <v>Fortrea Hldigs Inc  Com Wi</v>
      </c>
      <c r="B1625" s="12" t="str">
        <f>IFERROR(__xludf.DUMMYFUNCTION("""COMPUTED_VALUE"""),"FTRE-US")</f>
        <v>FTRE-US</v>
      </c>
      <c r="C1625" s="12"/>
      <c r="D1625" s="13">
        <f>IFERROR(__xludf.DUMMYFUNCTION("""COMPUTED_VALUE"""),45449.0)</f>
        <v>45449</v>
      </c>
      <c r="E1625" s="13">
        <f>IFERROR(__xludf.DUMMYFUNCTION("""COMPUTED_VALUE"""),45818.0)</f>
        <v>45818</v>
      </c>
      <c r="F1625" s="13">
        <f>IFERROR(__xludf.DUMMYFUNCTION("""COMPUTED_VALUE"""),45818.0)</f>
        <v>45818</v>
      </c>
      <c r="G1625" s="12"/>
      <c r="H1625" s="12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</row>
    <row r="1626">
      <c r="A1626" s="11" t="str">
        <f>IFERROR(__xludf.DUMMYFUNCTION("""COMPUTED_VALUE"""),"Sitio Royalties Corp  Cl A")</f>
        <v>Sitio Royalties Corp  Cl A</v>
      </c>
      <c r="B1626" s="12" t="str">
        <f>IFERROR(__xludf.DUMMYFUNCTION("""COMPUTED_VALUE"""),"STR-US")</f>
        <v>STR-US</v>
      </c>
      <c r="C1626" s="12"/>
      <c r="D1626" s="13">
        <f>IFERROR(__xludf.DUMMYFUNCTION("""COMPUTED_VALUE"""),45449.0)</f>
        <v>45449</v>
      </c>
      <c r="E1626" s="13">
        <f>IFERROR(__xludf.DUMMYFUNCTION("""COMPUTED_VALUE"""),45790.0)</f>
        <v>45790</v>
      </c>
      <c r="F1626" s="13">
        <f>IFERROR(__xludf.DUMMYFUNCTION("""COMPUTED_VALUE"""),45790.0)</f>
        <v>45790</v>
      </c>
      <c r="G1626" s="12"/>
      <c r="H1626" s="12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</row>
    <row r="1627">
      <c r="A1627" s="11" t="str">
        <f>IFERROR(__xludf.DUMMYFUNCTION("""COMPUTED_VALUE"""),"St Joe Co  Com")</f>
        <v>St Joe Co  Com</v>
      </c>
      <c r="B1627" s="12" t="str">
        <f>IFERROR(__xludf.DUMMYFUNCTION("""COMPUTED_VALUE"""),"JOE-US")</f>
        <v>JOE-US</v>
      </c>
      <c r="C1627" s="12"/>
      <c r="D1627" s="13">
        <f>IFERROR(__xludf.DUMMYFUNCTION("""COMPUTED_VALUE"""),45449.0)</f>
        <v>45449</v>
      </c>
      <c r="E1627" s="13">
        <f>IFERROR(__xludf.DUMMYFUNCTION("""COMPUTED_VALUE"""),45790.0)</f>
        <v>45790</v>
      </c>
      <c r="F1627" s="13">
        <f>IFERROR(__xludf.DUMMYFUNCTION("""COMPUTED_VALUE"""),45790.0)</f>
        <v>45790</v>
      </c>
      <c r="G1627" s="12"/>
      <c r="H1627" s="12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</row>
    <row r="1628">
      <c r="A1628" s="11" t="str">
        <f>IFERROR(__xludf.DUMMYFUNCTION("""COMPUTED_VALUE"""),"S&amp;T Bancorp Inc  Com")</f>
        <v>S&amp;T Bancorp Inc  Com</v>
      </c>
      <c r="B1628" s="12" t="str">
        <f>IFERROR(__xludf.DUMMYFUNCTION("""COMPUTED_VALUE"""),"STBA-US")</f>
        <v>STBA-US</v>
      </c>
      <c r="C1628" s="12"/>
      <c r="D1628" s="13">
        <f>IFERROR(__xludf.DUMMYFUNCTION("""COMPUTED_VALUE"""),45449.0)</f>
        <v>45449</v>
      </c>
      <c r="E1628" s="13">
        <f>IFERROR(__xludf.DUMMYFUNCTION("""COMPUTED_VALUE"""),45790.0)</f>
        <v>45790</v>
      </c>
      <c r="F1628" s="13">
        <f>IFERROR(__xludf.DUMMYFUNCTION("""COMPUTED_VALUE"""),45790.0)</f>
        <v>45790</v>
      </c>
      <c r="G1628" s="12"/>
      <c r="H1628" s="12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</row>
    <row r="1629">
      <c r="A1629" s="11" t="str">
        <f>IFERROR(__xludf.DUMMYFUNCTION("""COMPUTED_VALUE"""),"Camping World Holdings Inc  Cl A")</f>
        <v>Camping World Holdings Inc  Cl A</v>
      </c>
      <c r="B1629" s="12" t="str">
        <f>IFERROR(__xludf.DUMMYFUNCTION("""COMPUTED_VALUE"""),"CWH-US")</f>
        <v>CWH-US</v>
      </c>
      <c r="C1629" s="12"/>
      <c r="D1629" s="13">
        <f>IFERROR(__xludf.DUMMYFUNCTION("""COMPUTED_VALUE"""),45449.0)</f>
        <v>45449</v>
      </c>
      <c r="E1629" s="13">
        <f>IFERROR(__xludf.DUMMYFUNCTION("""COMPUTED_VALUE"""),45792.0)</f>
        <v>45792</v>
      </c>
      <c r="F1629" s="13">
        <f>IFERROR(__xludf.DUMMYFUNCTION("""COMPUTED_VALUE"""),45792.0)</f>
        <v>45792</v>
      </c>
      <c r="G1629" s="12"/>
      <c r="H1629" s="12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</row>
    <row r="1630">
      <c r="A1630" s="11" t="str">
        <f>IFERROR(__xludf.DUMMYFUNCTION("""COMPUTED_VALUE"""),"Artivion Inc  Com")</f>
        <v>Artivion Inc  Com</v>
      </c>
      <c r="B1630" s="12" t="str">
        <f>IFERROR(__xludf.DUMMYFUNCTION("""COMPUTED_VALUE"""),"AORT-US")</f>
        <v>AORT-US</v>
      </c>
      <c r="C1630" s="12"/>
      <c r="D1630" s="13">
        <f>IFERROR(__xludf.DUMMYFUNCTION("""COMPUTED_VALUE"""),45449.0)</f>
        <v>45449</v>
      </c>
      <c r="E1630" s="13">
        <f>IFERROR(__xludf.DUMMYFUNCTION("""COMPUTED_VALUE"""),45790.0)</f>
        <v>45790</v>
      </c>
      <c r="F1630" s="13">
        <f>IFERROR(__xludf.DUMMYFUNCTION("""COMPUTED_VALUE"""),45790.0)</f>
        <v>45790</v>
      </c>
      <c r="G1630" s="12"/>
      <c r="H1630" s="12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</row>
    <row r="1631">
      <c r="A1631" s="11" t="str">
        <f>IFERROR(__xludf.DUMMYFUNCTION("""COMPUTED_VALUE"""),"Trimas Corp  Com")</f>
        <v>Trimas Corp  Com</v>
      </c>
      <c r="B1631" s="12" t="str">
        <f>IFERROR(__xludf.DUMMYFUNCTION("""COMPUTED_VALUE"""),"TRS-US")</f>
        <v>TRS-US</v>
      </c>
      <c r="C1631" s="12"/>
      <c r="D1631" s="13">
        <f>IFERROR(__xludf.DUMMYFUNCTION("""COMPUTED_VALUE"""),45449.0)</f>
        <v>45449</v>
      </c>
      <c r="E1631" s="13">
        <f>IFERROR(__xludf.DUMMYFUNCTION("""COMPUTED_VALUE"""),45791.0)</f>
        <v>45791</v>
      </c>
      <c r="F1631" s="13">
        <f>IFERROR(__xludf.DUMMYFUNCTION("""COMPUTED_VALUE"""),45791.0)</f>
        <v>45791</v>
      </c>
      <c r="G1631" s="12"/>
      <c r="H1631" s="12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</row>
    <row r="1632">
      <c r="A1632" s="11" t="str">
        <f>IFERROR(__xludf.DUMMYFUNCTION("""COMPUTED_VALUE"""),"Bel Fuse Inc  Cl B Com Nvtg")</f>
        <v>Bel Fuse Inc  Cl B Com Nvtg</v>
      </c>
      <c r="B1632" s="12" t="str">
        <f>IFERROR(__xludf.DUMMYFUNCTION("""COMPUTED_VALUE"""),"BELFB-US")</f>
        <v>BELFB-US</v>
      </c>
      <c r="C1632" s="12"/>
      <c r="D1632" s="13">
        <f>IFERROR(__xludf.DUMMYFUNCTION("""COMPUTED_VALUE"""),45449.0)</f>
        <v>45449</v>
      </c>
      <c r="E1632" s="13">
        <f>IFERROR(__xludf.DUMMYFUNCTION("""COMPUTED_VALUE"""),45804.0)</f>
        <v>45804</v>
      </c>
      <c r="F1632" s="13">
        <f>IFERROR(__xludf.DUMMYFUNCTION("""COMPUTED_VALUE"""),45804.0)</f>
        <v>45804</v>
      </c>
      <c r="G1632" s="12"/>
      <c r="H1632" s="12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</row>
    <row r="1633">
      <c r="A1633" s="11" t="str">
        <f>IFERROR(__xludf.DUMMYFUNCTION("""COMPUTED_VALUE"""),"Whitestone Reit  Com")</f>
        <v>Whitestone Reit  Com</v>
      </c>
      <c r="B1633" s="12" t="str">
        <f>IFERROR(__xludf.DUMMYFUNCTION("""COMPUTED_VALUE"""),"WSR-US")</f>
        <v>WSR-US</v>
      </c>
      <c r="C1633" s="12"/>
      <c r="D1633" s="13">
        <f>IFERROR(__xludf.DUMMYFUNCTION("""COMPUTED_VALUE"""),45449.0)</f>
        <v>45449</v>
      </c>
      <c r="E1633" s="13">
        <f>IFERROR(__xludf.DUMMYFUNCTION("""COMPUTED_VALUE"""),45792.0)</f>
        <v>45792</v>
      </c>
      <c r="F1633" s="13">
        <f>IFERROR(__xludf.DUMMYFUNCTION("""COMPUTED_VALUE"""),45792.0)</f>
        <v>45792</v>
      </c>
      <c r="G1633" s="12"/>
      <c r="H1633" s="12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</row>
    <row r="1634">
      <c r="A1634" s="11" t="str">
        <f>IFERROR(__xludf.DUMMYFUNCTION("""COMPUTED_VALUE"""),"Solaris Energy Infrastructure  Cl A")</f>
        <v>Solaris Energy Infrastructure  Cl A</v>
      </c>
      <c r="B1634" s="12" t="str">
        <f>IFERROR(__xludf.DUMMYFUNCTION("""COMPUTED_VALUE"""),"SEI-US")</f>
        <v>SEI-US</v>
      </c>
      <c r="C1634" s="12"/>
      <c r="D1634" s="13">
        <f>IFERROR(__xludf.DUMMYFUNCTION("""COMPUTED_VALUE"""),45450.0)</f>
        <v>45450</v>
      </c>
      <c r="E1634" s="13">
        <f>IFERROR(__xludf.DUMMYFUNCTION("""COMPUTED_VALUE"""),45792.0)</f>
        <v>45792</v>
      </c>
      <c r="F1634" s="13">
        <f>IFERROR(__xludf.DUMMYFUNCTION("""COMPUTED_VALUE"""),45792.0)</f>
        <v>45792</v>
      </c>
      <c r="G1634" s="12"/>
      <c r="H1634" s="12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</row>
    <row r="1635">
      <c r="A1635" s="11" t="str">
        <f>IFERROR(__xludf.DUMMYFUNCTION("""COMPUTED_VALUE"""),"Carriage Services Inc  Com")</f>
        <v>Carriage Services Inc  Com</v>
      </c>
      <c r="B1635" s="12" t="str">
        <f>IFERROR(__xludf.DUMMYFUNCTION("""COMPUTED_VALUE"""),"CSV-US")</f>
        <v>CSV-US</v>
      </c>
      <c r="C1635" s="12"/>
      <c r="D1635" s="13">
        <f>IFERROR(__xludf.DUMMYFUNCTION("""COMPUTED_VALUE"""),45450.0)</f>
        <v>45450</v>
      </c>
      <c r="E1635" s="13">
        <f>IFERROR(__xludf.DUMMYFUNCTION("""COMPUTED_VALUE"""),45790.0)</f>
        <v>45790</v>
      </c>
      <c r="F1635" s="13">
        <f>IFERROR(__xludf.DUMMYFUNCTION("""COMPUTED_VALUE"""),45790.0)</f>
        <v>45790</v>
      </c>
      <c r="G1635" s="12"/>
      <c r="H1635" s="12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</row>
    <row r="1636">
      <c r="A1636" s="11" t="str">
        <f>IFERROR(__xludf.DUMMYFUNCTION("""COMPUTED_VALUE"""),"American Coastal Insurance Corp  Com")</f>
        <v>American Coastal Insurance Corp  Com</v>
      </c>
      <c r="B1636" s="12" t="str">
        <f>IFERROR(__xludf.DUMMYFUNCTION("""COMPUTED_VALUE"""),"ACIC-US")</f>
        <v>ACIC-US</v>
      </c>
      <c r="C1636" s="12"/>
      <c r="D1636" s="13">
        <f>IFERROR(__xludf.DUMMYFUNCTION("""COMPUTED_VALUE"""),45450.0)</f>
        <v>45450</v>
      </c>
      <c r="E1636" s="13">
        <f>IFERROR(__xludf.DUMMYFUNCTION("""COMPUTED_VALUE"""),45796.0)</f>
        <v>45796</v>
      </c>
      <c r="F1636" s="13">
        <f>IFERROR(__xludf.DUMMYFUNCTION("""COMPUTED_VALUE"""),45796.0)</f>
        <v>45796</v>
      </c>
      <c r="G1636" s="12"/>
      <c r="H1636" s="12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</row>
    <row r="1637">
      <c r="A1637" s="11" t="str">
        <f>IFERROR(__xludf.DUMMYFUNCTION("""COMPUTED_VALUE"""),"Dine Brands Global Inc  Com")</f>
        <v>Dine Brands Global Inc  Com</v>
      </c>
      <c r="B1637" s="12" t="str">
        <f>IFERROR(__xludf.DUMMYFUNCTION("""COMPUTED_VALUE"""),"DIN-US")</f>
        <v>DIN-US</v>
      </c>
      <c r="C1637" s="12"/>
      <c r="D1637" s="13">
        <f>IFERROR(__xludf.DUMMYFUNCTION("""COMPUTED_VALUE"""),45450.0)</f>
        <v>45450</v>
      </c>
      <c r="E1637" s="13">
        <f>IFERROR(__xludf.DUMMYFUNCTION("""COMPUTED_VALUE"""),45791.0)</f>
        <v>45791</v>
      </c>
      <c r="F1637" s="13">
        <f>IFERROR(__xludf.DUMMYFUNCTION("""COMPUTED_VALUE"""),45791.0)</f>
        <v>45791</v>
      </c>
      <c r="G1637" s="12"/>
      <c r="H1637" s="12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</row>
    <row r="1638">
      <c r="A1638" s="11" t="str">
        <f>IFERROR(__xludf.DUMMYFUNCTION("""COMPUTED_VALUE"""),"Tejon Ranch Co  Com")</f>
        <v>Tejon Ranch Co  Com</v>
      </c>
      <c r="B1638" s="12" t="str">
        <f>IFERROR(__xludf.DUMMYFUNCTION("""COMPUTED_VALUE"""),"TRC-US")</f>
        <v>TRC-US</v>
      </c>
      <c r="C1638" s="12"/>
      <c r="D1638" s="13">
        <f>IFERROR(__xludf.DUMMYFUNCTION("""COMPUTED_VALUE"""),45450.0)</f>
        <v>45450</v>
      </c>
      <c r="E1638" s="13">
        <f>IFERROR(__xludf.DUMMYFUNCTION("""COMPUTED_VALUE"""),45790.0)</f>
        <v>45790</v>
      </c>
      <c r="F1638" s="13">
        <f>IFERROR(__xludf.DUMMYFUNCTION("""COMPUTED_VALUE"""),45790.0)</f>
        <v>45790</v>
      </c>
      <c r="G1638" s="12"/>
      <c r="H1638" s="12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</row>
    <row r="1639">
      <c r="A1639" s="11" t="str">
        <f>IFERROR(__xludf.DUMMYFUNCTION("""COMPUTED_VALUE"""),"Capricor Therapeutics Inc  Com")</f>
        <v>Capricor Therapeutics Inc  Com</v>
      </c>
      <c r="B1639" s="12" t="str">
        <f>IFERROR(__xludf.DUMMYFUNCTION("""COMPUTED_VALUE"""),"CAPR-US")</f>
        <v>CAPR-US</v>
      </c>
      <c r="C1639" s="12"/>
      <c r="D1639" s="13">
        <f>IFERROR(__xludf.DUMMYFUNCTION("""COMPUTED_VALUE"""),45450.0)</f>
        <v>45450</v>
      </c>
      <c r="E1639" s="13">
        <f>IFERROR(__xludf.DUMMYFUNCTION("""COMPUTED_VALUE"""),45799.0)</f>
        <v>45799</v>
      </c>
      <c r="F1639" s="13">
        <f>IFERROR(__xludf.DUMMYFUNCTION("""COMPUTED_VALUE"""),45799.0)</f>
        <v>45799</v>
      </c>
      <c r="G1639" s="12"/>
      <c r="H1639" s="12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</row>
    <row r="1640">
      <c r="A1640" s="11" t="str">
        <f>IFERROR(__xludf.DUMMYFUNCTION("""COMPUTED_VALUE"""),"Bank Of Marin Bancorp  Com")</f>
        <v>Bank Of Marin Bancorp  Com</v>
      </c>
      <c r="B1640" s="12" t="str">
        <f>IFERROR(__xludf.DUMMYFUNCTION("""COMPUTED_VALUE"""),"BMRC-US")</f>
        <v>BMRC-US</v>
      </c>
      <c r="C1640" s="12"/>
      <c r="D1640" s="13">
        <f>IFERROR(__xludf.DUMMYFUNCTION("""COMPUTED_VALUE"""),45450.0)</f>
        <v>45450</v>
      </c>
      <c r="E1640" s="13">
        <f>IFERROR(__xludf.DUMMYFUNCTION("""COMPUTED_VALUE"""),45798.0)</f>
        <v>45798</v>
      </c>
      <c r="F1640" s="13">
        <f>IFERROR(__xludf.DUMMYFUNCTION("""COMPUTED_VALUE"""),45798.0)</f>
        <v>45798</v>
      </c>
      <c r="G1640" s="12"/>
      <c r="H1640" s="12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</row>
    <row r="1641">
      <c r="A1641" s="11" t="str">
        <f>IFERROR(__xludf.DUMMYFUNCTION("""COMPUTED_VALUE"""),"Nerdwallet Inc  Cl A")</f>
        <v>Nerdwallet Inc  Cl A</v>
      </c>
      <c r="B1641" s="12" t="str">
        <f>IFERROR(__xludf.DUMMYFUNCTION("""COMPUTED_VALUE"""),"NRDS-US")</f>
        <v>NRDS-US</v>
      </c>
      <c r="C1641" s="12"/>
      <c r="D1641" s="13">
        <f>IFERROR(__xludf.DUMMYFUNCTION("""COMPUTED_VALUE"""),45450.0)</f>
        <v>45450</v>
      </c>
      <c r="E1641" s="13">
        <f>IFERROR(__xludf.DUMMYFUNCTION("""COMPUTED_VALUE"""),45798.0)</f>
        <v>45798</v>
      </c>
      <c r="F1641" s="13">
        <f>IFERROR(__xludf.DUMMYFUNCTION("""COMPUTED_VALUE"""),45798.0)</f>
        <v>45798</v>
      </c>
      <c r="G1641" s="12"/>
      <c r="H1641" s="12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</row>
    <row r="1642">
      <c r="A1642" s="11" t="str">
        <f>IFERROR(__xludf.DUMMYFUNCTION("""COMPUTED_VALUE"""),"Orasure Technologies Inc  Com")</f>
        <v>Orasure Technologies Inc  Com</v>
      </c>
      <c r="B1642" s="12" t="str">
        <f>IFERROR(__xludf.DUMMYFUNCTION("""COMPUTED_VALUE"""),"OSUR-US")</f>
        <v>OSUR-US</v>
      </c>
      <c r="C1642" s="12"/>
      <c r="D1642" s="13">
        <f>IFERROR(__xludf.DUMMYFUNCTION("""COMPUTED_VALUE"""),45450.0)</f>
        <v>45450</v>
      </c>
      <c r="E1642" s="13">
        <f>IFERROR(__xludf.DUMMYFUNCTION("""COMPUTED_VALUE"""),45791.0)</f>
        <v>45791</v>
      </c>
      <c r="F1642" s="13">
        <f>IFERROR(__xludf.DUMMYFUNCTION("""COMPUTED_VALUE"""),45791.0)</f>
        <v>45791</v>
      </c>
      <c r="G1642" s="12"/>
      <c r="H1642" s="12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</row>
    <row r="1643">
      <c r="A1643" s="11" t="str">
        <f>IFERROR(__xludf.DUMMYFUNCTION("""COMPUTED_VALUE"""),"Smartrent Inc  Cl A")</f>
        <v>Smartrent Inc  Cl A</v>
      </c>
      <c r="B1643" s="12" t="str">
        <f>IFERROR(__xludf.DUMMYFUNCTION("""COMPUTED_VALUE"""),"SMRT-US")</f>
        <v>SMRT-US</v>
      </c>
      <c r="C1643" s="12"/>
      <c r="D1643" s="13">
        <f>IFERROR(__xludf.DUMMYFUNCTION("""COMPUTED_VALUE"""),45450.0)</f>
        <v>45450</v>
      </c>
      <c r="E1643" s="13">
        <f>IFERROR(__xludf.DUMMYFUNCTION("""COMPUTED_VALUE"""),45790.0)</f>
        <v>45790</v>
      </c>
      <c r="F1643" s="13">
        <f>IFERROR(__xludf.DUMMYFUNCTION("""COMPUTED_VALUE"""),45790.0)</f>
        <v>45790</v>
      </c>
      <c r="G1643" s="12"/>
      <c r="H1643" s="12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</row>
    <row r="1644">
      <c r="A1644" s="11" t="str">
        <f>IFERROR(__xludf.DUMMYFUNCTION("""COMPUTED_VALUE"""),"Forrester Research Inc  Com")</f>
        <v>Forrester Research Inc  Com</v>
      </c>
      <c r="B1644" s="12" t="str">
        <f>IFERROR(__xludf.DUMMYFUNCTION("""COMPUTED_VALUE"""),"FORR-US")</f>
        <v>FORR-US</v>
      </c>
      <c r="C1644" s="12"/>
      <c r="D1644" s="13">
        <f>IFERROR(__xludf.DUMMYFUNCTION("""COMPUTED_VALUE"""),45450.0)</f>
        <v>45450</v>
      </c>
      <c r="E1644" s="13">
        <f>IFERROR(__xludf.DUMMYFUNCTION("""COMPUTED_VALUE"""),45790.0)</f>
        <v>45790</v>
      </c>
      <c r="F1644" s="13">
        <f>IFERROR(__xludf.DUMMYFUNCTION("""COMPUTED_VALUE"""),45790.0)</f>
        <v>45790</v>
      </c>
      <c r="G1644" s="12"/>
      <c r="H1644" s="12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</row>
    <row r="1645">
      <c r="A1645" s="11" t="str">
        <f>IFERROR(__xludf.DUMMYFUNCTION("""COMPUTED_VALUE"""),"Stoneridge Inc  Com")</f>
        <v>Stoneridge Inc  Com</v>
      </c>
      <c r="B1645" s="12" t="str">
        <f>IFERROR(__xludf.DUMMYFUNCTION("""COMPUTED_VALUE"""),"SRI-US")</f>
        <v>SRI-US</v>
      </c>
      <c r="C1645" s="12"/>
      <c r="D1645" s="13">
        <f>IFERROR(__xludf.DUMMYFUNCTION("""COMPUTED_VALUE"""),45450.0)</f>
        <v>45450</v>
      </c>
      <c r="E1645" s="13">
        <f>IFERROR(__xludf.DUMMYFUNCTION("""COMPUTED_VALUE"""),45790.0)</f>
        <v>45790</v>
      </c>
      <c r="F1645" s="13">
        <f>IFERROR(__xludf.DUMMYFUNCTION("""COMPUTED_VALUE"""),45790.0)</f>
        <v>45790</v>
      </c>
      <c r="G1645" s="12"/>
      <c r="H1645" s="12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</row>
    <row r="1646">
      <c r="A1646" s="11" t="str">
        <f>IFERROR(__xludf.DUMMYFUNCTION("""COMPUTED_VALUE"""),"I 80 Gold Corp  Com")</f>
        <v>I 80 Gold Corp  Com</v>
      </c>
      <c r="B1646" s="12" t="str">
        <f>IFERROR(__xludf.DUMMYFUNCTION("""COMPUTED_VALUE"""),"IAU-CA")</f>
        <v>IAU-CA</v>
      </c>
      <c r="C1646" s="12"/>
      <c r="D1646" s="13">
        <f>IFERROR(__xludf.DUMMYFUNCTION("""COMPUTED_VALUE"""),45450.0)</f>
        <v>45450</v>
      </c>
      <c r="E1646" s="13">
        <f>IFERROR(__xludf.DUMMYFUNCTION("""COMPUTED_VALUE"""),45825.0)</f>
        <v>45825</v>
      </c>
      <c r="F1646" s="13">
        <f>IFERROR(__xludf.DUMMYFUNCTION("""COMPUTED_VALUE"""),45825.0)</f>
        <v>45825</v>
      </c>
      <c r="G1646" s="12"/>
      <c r="H1646" s="12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</row>
    <row r="1647">
      <c r="A1647" s="11" t="str">
        <f>IFERROR(__xludf.DUMMYFUNCTION("""COMPUTED_VALUE"""),"Baker Hughes Co  Cl A")</f>
        <v>Baker Hughes Co  Cl A</v>
      </c>
      <c r="B1647" s="12" t="str">
        <f>IFERROR(__xludf.DUMMYFUNCTION("""COMPUTED_VALUE"""),"BKR-US")</f>
        <v>BKR-US</v>
      </c>
      <c r="C1647" s="12"/>
      <c r="D1647" s="13">
        <f>IFERROR(__xludf.DUMMYFUNCTION("""COMPUTED_VALUE"""),45450.0)</f>
        <v>45450</v>
      </c>
      <c r="E1647" s="13">
        <f>IFERROR(__xludf.DUMMYFUNCTION("""COMPUTED_VALUE"""),45797.0)</f>
        <v>45797</v>
      </c>
      <c r="F1647" s="13">
        <f>IFERROR(__xludf.DUMMYFUNCTION("""COMPUTED_VALUE"""),45797.0)</f>
        <v>45797</v>
      </c>
      <c r="G1647" s="12"/>
      <c r="H1647" s="12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</row>
    <row r="1648">
      <c r="A1648" s="11" t="str">
        <f>IFERROR(__xludf.DUMMYFUNCTION("""COMPUTED_VALUE"""),"International Paper Co  Com")</f>
        <v>International Paper Co  Com</v>
      </c>
      <c r="B1648" s="12" t="str">
        <f>IFERROR(__xludf.DUMMYFUNCTION("""COMPUTED_VALUE"""),"IP-US")</f>
        <v>IP-US</v>
      </c>
      <c r="C1648" s="12"/>
      <c r="D1648" s="13">
        <f>IFERROR(__xludf.DUMMYFUNCTION("""COMPUTED_VALUE"""),45450.0)</f>
        <v>45450</v>
      </c>
      <c r="E1648" s="13">
        <f>IFERROR(__xludf.DUMMYFUNCTION("""COMPUTED_VALUE"""),45789.0)</f>
        <v>45789</v>
      </c>
      <c r="F1648" s="13">
        <f>IFERROR(__xludf.DUMMYFUNCTION("""COMPUTED_VALUE"""),45789.0)</f>
        <v>45789</v>
      </c>
      <c r="G1648" s="12"/>
      <c r="H1648" s="12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</row>
    <row r="1649">
      <c r="A1649" s="11" t="str">
        <f>IFERROR(__xludf.DUMMYFUNCTION("""COMPUTED_VALUE"""),"Nisource Inc  Com")</f>
        <v>Nisource Inc  Com</v>
      </c>
      <c r="B1649" s="12" t="str">
        <f>IFERROR(__xludf.DUMMYFUNCTION("""COMPUTED_VALUE"""),"NI-US")</f>
        <v>NI-US</v>
      </c>
      <c r="C1649" s="12"/>
      <c r="D1649" s="13">
        <f>IFERROR(__xludf.DUMMYFUNCTION("""COMPUTED_VALUE"""),45450.0)</f>
        <v>45450</v>
      </c>
      <c r="E1649" s="13">
        <f>IFERROR(__xludf.DUMMYFUNCTION("""COMPUTED_VALUE"""),45789.0)</f>
        <v>45789</v>
      </c>
      <c r="F1649" s="13">
        <f>IFERROR(__xludf.DUMMYFUNCTION("""COMPUTED_VALUE"""),45789.0)</f>
        <v>45789</v>
      </c>
      <c r="G1649" s="12"/>
      <c r="H1649" s="12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</row>
    <row r="1650">
      <c r="A1650" s="11" t="str">
        <f>IFERROR(__xludf.DUMMYFUNCTION("""COMPUTED_VALUE"""),"Draftkings Inc  Cl A")</f>
        <v>Draftkings Inc  Cl A</v>
      </c>
      <c r="B1650" s="12" t="str">
        <f>IFERROR(__xludf.DUMMYFUNCTION("""COMPUTED_VALUE"""),"DKNG-US")</f>
        <v>DKNG-US</v>
      </c>
      <c r="C1650" s="12"/>
      <c r="D1650" s="13">
        <f>IFERROR(__xludf.DUMMYFUNCTION("""COMPUTED_VALUE"""),45450.0)</f>
        <v>45450</v>
      </c>
      <c r="E1650" s="13">
        <f>IFERROR(__xludf.DUMMYFUNCTION("""COMPUTED_VALUE"""),45796.0)</f>
        <v>45796</v>
      </c>
      <c r="F1650" s="13">
        <f>IFERROR(__xludf.DUMMYFUNCTION("""COMPUTED_VALUE"""),45796.0)</f>
        <v>45796</v>
      </c>
      <c r="G1650" s="12"/>
      <c r="H1650" s="12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</row>
    <row r="1651">
      <c r="A1651" s="11" t="str">
        <f>IFERROR(__xludf.DUMMYFUNCTION("""COMPUTED_VALUE"""),"Insmed Inc  Com")</f>
        <v>Insmed Inc  Com</v>
      </c>
      <c r="B1651" s="12" t="str">
        <f>IFERROR(__xludf.DUMMYFUNCTION("""COMPUTED_VALUE"""),"INSM-US")</f>
        <v>INSM-US</v>
      </c>
      <c r="C1651" s="12"/>
      <c r="D1651" s="13">
        <f>IFERROR(__xludf.DUMMYFUNCTION("""COMPUTED_VALUE"""),45450.0)</f>
        <v>45450</v>
      </c>
      <c r="E1651" s="13">
        <f>IFERROR(__xludf.DUMMYFUNCTION("""COMPUTED_VALUE"""),45792.0)</f>
        <v>45792</v>
      </c>
      <c r="F1651" s="13">
        <f>IFERROR(__xludf.DUMMYFUNCTION("""COMPUTED_VALUE"""),45792.0)</f>
        <v>45792</v>
      </c>
      <c r="G1651" s="12"/>
      <c r="H1651" s="12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</row>
    <row r="1652">
      <c r="A1652" s="11" t="str">
        <f>IFERROR(__xludf.DUMMYFUNCTION("""COMPUTED_VALUE"""),"Celanese Corp  Com Ser A")</f>
        <v>Celanese Corp  Com Ser A</v>
      </c>
      <c r="B1652" s="12" t="str">
        <f>IFERROR(__xludf.DUMMYFUNCTION("""COMPUTED_VALUE"""),"CE-US")</f>
        <v>CE-US</v>
      </c>
      <c r="C1652" s="12"/>
      <c r="D1652" s="13">
        <f>IFERROR(__xludf.DUMMYFUNCTION("""COMPUTED_VALUE"""),45450.0)</f>
        <v>45450</v>
      </c>
      <c r="E1652" s="13">
        <f>IFERROR(__xludf.DUMMYFUNCTION("""COMPUTED_VALUE"""),45791.0)</f>
        <v>45791</v>
      </c>
      <c r="F1652" s="13">
        <f>IFERROR(__xludf.DUMMYFUNCTION("""COMPUTED_VALUE"""),45791.0)</f>
        <v>45791</v>
      </c>
      <c r="G1652" s="12"/>
      <c r="H1652" s="12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</row>
    <row r="1653">
      <c r="A1653" s="11" t="str">
        <f>IFERROR(__xludf.DUMMYFUNCTION("""COMPUTED_VALUE"""),"Essential Properties Realty Tr  Com")</f>
        <v>Essential Properties Realty Tr  Com</v>
      </c>
      <c r="B1653" s="12" t="str">
        <f>IFERROR(__xludf.DUMMYFUNCTION("""COMPUTED_VALUE"""),"EPRT-US")</f>
        <v>EPRT-US</v>
      </c>
      <c r="C1653" s="12"/>
      <c r="D1653" s="13">
        <f>IFERROR(__xludf.DUMMYFUNCTION("""COMPUTED_VALUE"""),45450.0)</f>
        <v>45450</v>
      </c>
      <c r="E1653" s="13">
        <f>IFERROR(__xludf.DUMMYFUNCTION("""COMPUTED_VALUE"""),45789.0)</f>
        <v>45789</v>
      </c>
      <c r="F1653" s="13">
        <f>IFERROR(__xludf.DUMMYFUNCTION("""COMPUTED_VALUE"""),45789.0)</f>
        <v>45789</v>
      </c>
      <c r="G1653" s="12"/>
      <c r="H1653" s="12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</row>
    <row r="1654">
      <c r="A1654" s="11" t="str">
        <f>IFERROR(__xludf.DUMMYFUNCTION("""COMPUTED_VALUE"""),"M / I Homes Inc  Com")</f>
        <v>M / I Homes Inc  Com</v>
      </c>
      <c r="B1654" s="12" t="str">
        <f>IFERROR(__xludf.DUMMYFUNCTION("""COMPUTED_VALUE"""),"MHO-US")</f>
        <v>MHO-US</v>
      </c>
      <c r="C1654" s="12"/>
      <c r="D1654" s="13">
        <f>IFERROR(__xludf.DUMMYFUNCTION("""COMPUTED_VALUE"""),45450.0)</f>
        <v>45450</v>
      </c>
      <c r="E1654" s="13">
        <f>IFERROR(__xludf.DUMMYFUNCTION("""COMPUTED_VALUE"""),45791.0)</f>
        <v>45791</v>
      </c>
      <c r="F1654" s="13">
        <f>IFERROR(__xludf.DUMMYFUNCTION("""COMPUTED_VALUE"""),45791.0)</f>
        <v>45791</v>
      </c>
      <c r="G1654" s="12"/>
      <c r="H1654" s="12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</row>
    <row r="1655">
      <c r="A1655" s="11" t="str">
        <f>IFERROR(__xludf.DUMMYFUNCTION("""COMPUTED_VALUE"""),"Eastern Bankshares Inc  Com")</f>
        <v>Eastern Bankshares Inc  Com</v>
      </c>
      <c r="B1655" s="12" t="str">
        <f>IFERROR(__xludf.DUMMYFUNCTION("""COMPUTED_VALUE"""),"EBC-US")</f>
        <v>EBC-US</v>
      </c>
      <c r="C1655" s="12"/>
      <c r="D1655" s="13">
        <f>IFERROR(__xludf.DUMMYFUNCTION("""COMPUTED_VALUE"""),45450.0)</f>
        <v>45450</v>
      </c>
      <c r="E1655" s="13">
        <f>IFERROR(__xludf.DUMMYFUNCTION("""COMPUTED_VALUE"""),45796.0)</f>
        <v>45796</v>
      </c>
      <c r="F1655" s="13">
        <f>IFERROR(__xludf.DUMMYFUNCTION("""COMPUTED_VALUE"""),45796.0)</f>
        <v>45796</v>
      </c>
      <c r="G1655" s="12"/>
      <c r="H1655" s="12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</row>
    <row r="1656">
      <c r="A1656" s="11" t="str">
        <f>IFERROR(__xludf.DUMMYFUNCTION("""COMPUTED_VALUE"""),"Cathay General Bancorp  Com")</f>
        <v>Cathay General Bancorp  Com</v>
      </c>
      <c r="B1656" s="12" t="str">
        <f>IFERROR(__xludf.DUMMYFUNCTION("""COMPUTED_VALUE"""),"CATY-US")</f>
        <v>CATY-US</v>
      </c>
      <c r="C1656" s="12"/>
      <c r="D1656" s="13">
        <f>IFERROR(__xludf.DUMMYFUNCTION("""COMPUTED_VALUE"""),45450.0)</f>
        <v>45450</v>
      </c>
      <c r="E1656" s="13">
        <f>IFERROR(__xludf.DUMMYFUNCTION("""COMPUTED_VALUE"""),45789.0)</f>
        <v>45789</v>
      </c>
      <c r="F1656" s="13">
        <f>IFERROR(__xludf.DUMMYFUNCTION("""COMPUTED_VALUE"""),45789.0)</f>
        <v>45789</v>
      </c>
      <c r="G1656" s="12"/>
      <c r="H1656" s="12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</row>
    <row r="1657">
      <c r="A1657" s="11" t="str">
        <f>IFERROR(__xludf.DUMMYFUNCTION("""COMPUTED_VALUE"""),"National Storage Affiliates Tr  Sbi")</f>
        <v>National Storage Affiliates Tr  Sbi</v>
      </c>
      <c r="B1657" s="12" t="str">
        <f>IFERROR(__xludf.DUMMYFUNCTION("""COMPUTED_VALUE"""),"NSA-US")</f>
        <v>NSA-US</v>
      </c>
      <c r="C1657" s="12"/>
      <c r="D1657" s="13">
        <f>IFERROR(__xludf.DUMMYFUNCTION("""COMPUTED_VALUE"""),45450.0)</f>
        <v>45450</v>
      </c>
      <c r="E1657" s="13">
        <f>IFERROR(__xludf.DUMMYFUNCTION("""COMPUTED_VALUE"""),45789.0)</f>
        <v>45789</v>
      </c>
      <c r="F1657" s="13">
        <f>IFERROR(__xludf.DUMMYFUNCTION("""COMPUTED_VALUE"""),45789.0)</f>
        <v>45789</v>
      </c>
      <c r="G1657" s="12"/>
      <c r="H1657" s="12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</row>
    <row r="1658">
      <c r="A1658" s="11" t="str">
        <f>IFERROR(__xludf.DUMMYFUNCTION("""COMPUTED_VALUE"""),"Pacific Premier Bancorp  Com")</f>
        <v>Pacific Premier Bancorp  Com</v>
      </c>
      <c r="B1658" s="12" t="str">
        <f>IFERROR(__xludf.DUMMYFUNCTION("""COMPUTED_VALUE"""),"PPBI-US")</f>
        <v>PPBI-US</v>
      </c>
      <c r="C1658" s="12"/>
      <c r="D1658" s="13">
        <f>IFERROR(__xludf.DUMMYFUNCTION("""COMPUTED_VALUE"""),45450.0)</f>
        <v>45450</v>
      </c>
      <c r="E1658" s="13">
        <f>IFERROR(__xludf.DUMMYFUNCTION("""COMPUTED_VALUE"""),45796.0)</f>
        <v>45796</v>
      </c>
      <c r="F1658" s="13">
        <f>IFERROR(__xludf.DUMMYFUNCTION("""COMPUTED_VALUE"""),45796.0)</f>
        <v>45796</v>
      </c>
      <c r="G1658" s="12"/>
      <c r="H1658" s="12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</row>
    <row r="1659">
      <c r="A1659" s="11" t="str">
        <f>IFERROR(__xludf.DUMMYFUNCTION("""COMPUTED_VALUE"""),"Hawaiian Electric Industries  Com")</f>
        <v>Hawaiian Electric Industries  Com</v>
      </c>
      <c r="B1659" s="12" t="str">
        <f>IFERROR(__xludf.DUMMYFUNCTION("""COMPUTED_VALUE"""),"HE-US")</f>
        <v>HE-US</v>
      </c>
      <c r="C1659" s="12"/>
      <c r="D1659" s="13">
        <f>IFERROR(__xludf.DUMMYFUNCTION("""COMPUTED_VALUE"""),45450.0)</f>
        <v>45450</v>
      </c>
      <c r="E1659" s="13">
        <f>IFERROR(__xludf.DUMMYFUNCTION("""COMPUTED_VALUE"""),45789.0)</f>
        <v>45789</v>
      </c>
      <c r="F1659" s="13">
        <f>IFERROR(__xludf.DUMMYFUNCTION("""COMPUTED_VALUE"""),45789.0)</f>
        <v>45789</v>
      </c>
      <c r="G1659" s="12"/>
      <c r="H1659" s="12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</row>
    <row r="1660">
      <c r="A1660" s="11" t="str">
        <f>IFERROR(__xludf.DUMMYFUNCTION("""COMPUTED_VALUE"""),"Atricure Inc  Com")</f>
        <v>Atricure Inc  Com</v>
      </c>
      <c r="B1660" s="12" t="str">
        <f>IFERROR(__xludf.DUMMYFUNCTION("""COMPUTED_VALUE"""),"ATRC-US")</f>
        <v>ATRC-US</v>
      </c>
      <c r="C1660" s="12"/>
      <c r="D1660" s="13">
        <f>IFERROR(__xludf.DUMMYFUNCTION("""COMPUTED_VALUE"""),45450.0)</f>
        <v>45450</v>
      </c>
      <c r="E1660" s="13">
        <f>IFERROR(__xludf.DUMMYFUNCTION("""COMPUTED_VALUE"""),45796.0)</f>
        <v>45796</v>
      </c>
      <c r="F1660" s="13">
        <f>IFERROR(__xludf.DUMMYFUNCTION("""COMPUTED_VALUE"""),45796.0)</f>
        <v>45796</v>
      </c>
      <c r="G1660" s="12"/>
      <c r="H1660" s="12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</row>
    <row r="1661">
      <c r="A1661" s="11" t="str">
        <f>IFERROR(__xludf.DUMMYFUNCTION("""COMPUTED_VALUE"""),"Interface Inc  Com")</f>
        <v>Interface Inc  Com</v>
      </c>
      <c r="B1661" s="12" t="str">
        <f>IFERROR(__xludf.DUMMYFUNCTION("""COMPUTED_VALUE"""),"TILE-US")</f>
        <v>TILE-US</v>
      </c>
      <c r="C1661" s="12"/>
      <c r="D1661" s="13">
        <f>IFERROR(__xludf.DUMMYFUNCTION("""COMPUTED_VALUE"""),45450.0)</f>
        <v>45450</v>
      </c>
      <c r="E1661" s="13">
        <f>IFERROR(__xludf.DUMMYFUNCTION("""COMPUTED_VALUE"""),45792.0)</f>
        <v>45792</v>
      </c>
      <c r="F1661" s="13">
        <f>IFERROR(__xludf.DUMMYFUNCTION("""COMPUTED_VALUE"""),45792.0)</f>
        <v>45792</v>
      </c>
      <c r="G1661" s="12"/>
      <c r="H1661" s="12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</row>
    <row r="1662">
      <c r="A1662" s="11" t="str">
        <f>IFERROR(__xludf.DUMMYFUNCTION("""COMPUTED_VALUE"""),"Spyre Therapeutics Inc  Com")</f>
        <v>Spyre Therapeutics Inc  Com</v>
      </c>
      <c r="B1662" s="12" t="str">
        <f>IFERROR(__xludf.DUMMYFUNCTION("""COMPUTED_VALUE"""),"SYRE-US")</f>
        <v>SYRE-US</v>
      </c>
      <c r="C1662" s="12"/>
      <c r="D1662" s="13">
        <f>IFERROR(__xludf.DUMMYFUNCTION("""COMPUTED_VALUE"""),45450.0)</f>
        <v>45450</v>
      </c>
      <c r="E1662" s="13">
        <f>IFERROR(__xludf.DUMMYFUNCTION("""COMPUTED_VALUE"""),45806.0)</f>
        <v>45806</v>
      </c>
      <c r="F1662" s="13">
        <f>IFERROR(__xludf.DUMMYFUNCTION("""COMPUTED_VALUE"""),45806.0)</f>
        <v>45806</v>
      </c>
      <c r="G1662" s="12"/>
      <c r="H1662" s="12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</row>
    <row r="1663">
      <c r="A1663" s="11" t="str">
        <f>IFERROR(__xludf.DUMMYFUNCTION("""COMPUTED_VALUE"""),"Exp World Holdings Inc  Com")</f>
        <v>Exp World Holdings Inc  Com</v>
      </c>
      <c r="B1663" s="12" t="str">
        <f>IFERROR(__xludf.DUMMYFUNCTION("""COMPUTED_VALUE"""),"EXPI-US")</f>
        <v>EXPI-US</v>
      </c>
      <c r="C1663" s="12"/>
      <c r="D1663" s="13">
        <f>IFERROR(__xludf.DUMMYFUNCTION("""COMPUTED_VALUE"""),45450.0)</f>
        <v>45450</v>
      </c>
      <c r="E1663" s="13">
        <f>IFERROR(__xludf.DUMMYFUNCTION("""COMPUTED_VALUE"""),45772.0)</f>
        <v>45772</v>
      </c>
      <c r="F1663" s="13">
        <f>IFERROR(__xludf.DUMMYFUNCTION("""COMPUTED_VALUE"""),45772.0)</f>
        <v>45772</v>
      </c>
      <c r="G1663" s="12"/>
      <c r="H1663" s="12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</row>
    <row r="1664">
      <c r="A1664" s="11" t="str">
        <f>IFERROR(__xludf.DUMMYFUNCTION("""COMPUTED_VALUE"""),"Mid Penn Bancorp Inc  Com")</f>
        <v>Mid Penn Bancorp Inc  Com</v>
      </c>
      <c r="B1664" s="12" t="str">
        <f>IFERROR(__xludf.DUMMYFUNCTION("""COMPUTED_VALUE"""),"MPB-US")</f>
        <v>MPB-US</v>
      </c>
      <c r="C1664" s="12"/>
      <c r="D1664" s="13">
        <f>IFERROR(__xludf.DUMMYFUNCTION("""COMPUTED_VALUE"""),45086.0)</f>
        <v>45086</v>
      </c>
      <c r="E1664" s="13">
        <f>IFERROR(__xludf.DUMMYFUNCTION("""COMPUTED_VALUE"""),45790.0)</f>
        <v>45790</v>
      </c>
      <c r="F1664" s="13">
        <f>IFERROR(__xludf.DUMMYFUNCTION("""COMPUTED_VALUE"""),45790.0)</f>
        <v>45790</v>
      </c>
      <c r="G1664" s="12"/>
      <c r="H1664" s="12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</row>
    <row r="1665">
      <c r="A1665" s="11" t="str">
        <f>IFERROR(__xludf.DUMMYFUNCTION("""COMPUTED_VALUE"""),"Zevra Therapeutics Inc  Com")</f>
        <v>Zevra Therapeutics Inc  Com</v>
      </c>
      <c r="B1665" s="12" t="str">
        <f>IFERROR(__xludf.DUMMYFUNCTION("""COMPUTED_VALUE"""),"ZVRA-US")</f>
        <v>ZVRA-US</v>
      </c>
      <c r="C1665" s="12"/>
      <c r="D1665" s="13">
        <f>IFERROR(__xludf.DUMMYFUNCTION("""COMPUTED_VALUE"""),45453.0)</f>
        <v>45453</v>
      </c>
      <c r="E1665" s="13">
        <f>IFERROR(__xludf.DUMMYFUNCTION("""COMPUTED_VALUE"""),45806.0)</f>
        <v>45806</v>
      </c>
      <c r="F1665" s="13">
        <f>IFERROR(__xludf.DUMMYFUNCTION("""COMPUTED_VALUE"""),45806.0)</f>
        <v>45806</v>
      </c>
      <c r="G1665" s="12"/>
      <c r="H1665" s="12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</row>
    <row r="1666">
      <c r="A1666" s="11" t="str">
        <f>IFERROR(__xludf.DUMMYFUNCTION("""COMPUTED_VALUE"""),"South Plains Financial Inc  Com")</f>
        <v>South Plains Financial Inc  Com</v>
      </c>
      <c r="B1666" s="12" t="str">
        <f>IFERROR(__xludf.DUMMYFUNCTION("""COMPUTED_VALUE"""),"SPFI-US")</f>
        <v>SPFI-US</v>
      </c>
      <c r="C1666" s="12"/>
      <c r="D1666" s="13">
        <f>IFERROR(__xludf.DUMMYFUNCTION("""COMPUTED_VALUE"""),45453.0)</f>
        <v>45453</v>
      </c>
      <c r="E1666" s="13">
        <f>IFERROR(__xludf.DUMMYFUNCTION("""COMPUTED_VALUE"""),45797.0)</f>
        <v>45797</v>
      </c>
      <c r="F1666" s="13">
        <f>IFERROR(__xludf.DUMMYFUNCTION("""COMPUTED_VALUE"""),45797.0)</f>
        <v>45797</v>
      </c>
      <c r="G1666" s="12"/>
      <c r="H1666" s="12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</row>
    <row r="1667">
      <c r="A1667" s="11" t="str">
        <f>IFERROR(__xludf.DUMMYFUNCTION("""COMPUTED_VALUE"""),"Peoples Financial Services Corp  Com")</f>
        <v>Peoples Financial Services Corp  Com</v>
      </c>
      <c r="B1667" s="12" t="str">
        <f>IFERROR(__xludf.DUMMYFUNCTION("""COMPUTED_VALUE"""),"PFIS-US")</f>
        <v>PFIS-US</v>
      </c>
      <c r="C1667" s="12"/>
      <c r="D1667" s="13">
        <f>IFERROR(__xludf.DUMMYFUNCTION("""COMPUTED_VALUE"""),45453.0)</f>
        <v>45453</v>
      </c>
      <c r="E1667" s="13">
        <f>IFERROR(__xludf.DUMMYFUNCTION("""COMPUTED_VALUE"""),45786.0)</f>
        <v>45786</v>
      </c>
      <c r="F1667" s="13">
        <f>IFERROR(__xludf.DUMMYFUNCTION("""COMPUTED_VALUE"""),45786.0)</f>
        <v>45786</v>
      </c>
      <c r="G1667" s="12"/>
      <c r="H1667" s="12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</row>
    <row r="1668">
      <c r="A1668" s="11" t="str">
        <f>IFERROR(__xludf.DUMMYFUNCTION("""COMPUTED_VALUE"""),"Progressive Corp  Com")</f>
        <v>Progressive Corp  Com</v>
      </c>
      <c r="B1668" s="12" t="str">
        <f>IFERROR(__xludf.DUMMYFUNCTION("""COMPUTED_VALUE"""),"PGR-US")</f>
        <v>PGR-US</v>
      </c>
      <c r="C1668" s="12"/>
      <c r="D1668" s="13">
        <f>IFERROR(__xludf.DUMMYFUNCTION("""COMPUTED_VALUE"""),45453.0)</f>
        <v>45453</v>
      </c>
      <c r="E1668" s="13">
        <f>IFERROR(__xludf.DUMMYFUNCTION("""COMPUTED_VALUE"""),45786.0)</f>
        <v>45786</v>
      </c>
      <c r="F1668" s="13">
        <f>IFERROR(__xludf.DUMMYFUNCTION("""COMPUTED_VALUE"""),45786.0)</f>
        <v>45786</v>
      </c>
      <c r="G1668" s="12"/>
      <c r="H1668" s="12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</row>
    <row r="1669">
      <c r="A1669" s="11" t="str">
        <f>IFERROR(__xludf.DUMMYFUNCTION("""COMPUTED_VALUE"""),"Colgate Palmolive Co  Com")</f>
        <v>Colgate Palmolive Co  Com</v>
      </c>
      <c r="B1669" s="12" t="str">
        <f>IFERROR(__xludf.DUMMYFUNCTION("""COMPUTED_VALUE"""),"CL-US")</f>
        <v>CL-US</v>
      </c>
      <c r="C1669" s="12"/>
      <c r="D1669" s="13">
        <f>IFERROR(__xludf.DUMMYFUNCTION("""COMPUTED_VALUE"""),45453.0)</f>
        <v>45453</v>
      </c>
      <c r="E1669" s="13">
        <f>IFERROR(__xludf.DUMMYFUNCTION("""COMPUTED_VALUE"""),45786.0)</f>
        <v>45786</v>
      </c>
      <c r="F1669" s="13">
        <f>IFERROR(__xludf.DUMMYFUNCTION("""COMPUTED_VALUE"""),45786.0)</f>
        <v>45786</v>
      </c>
      <c r="G1669" s="12"/>
      <c r="H1669" s="12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</row>
    <row r="1670">
      <c r="A1670" s="11" t="str">
        <f>IFERROR(__xludf.DUMMYFUNCTION("""COMPUTED_VALUE"""),"Marriott International Inc  Cl A")</f>
        <v>Marriott International Inc  Cl A</v>
      </c>
      <c r="B1670" s="12" t="str">
        <f>IFERROR(__xludf.DUMMYFUNCTION("""COMPUTED_VALUE"""),"MAR-US")</f>
        <v>MAR-US</v>
      </c>
      <c r="C1670" s="12"/>
      <c r="D1670" s="13">
        <f>IFERROR(__xludf.DUMMYFUNCTION("""COMPUTED_VALUE"""),45453.0)</f>
        <v>45453</v>
      </c>
      <c r="E1670" s="13">
        <f>IFERROR(__xludf.DUMMYFUNCTION("""COMPUTED_VALUE"""),45786.0)</f>
        <v>45786</v>
      </c>
      <c r="F1670" s="13">
        <f>IFERROR(__xludf.DUMMYFUNCTION("""COMPUTED_VALUE"""),45786.0)</f>
        <v>45786</v>
      </c>
      <c r="G1670" s="12"/>
      <c r="H1670" s="12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</row>
    <row r="1671">
      <c r="A1671" s="11" t="str">
        <f>IFERROR(__xludf.DUMMYFUNCTION("""COMPUTED_VALUE"""),"Realty Income Corp  Com")</f>
        <v>Realty Income Corp  Com</v>
      </c>
      <c r="B1671" s="12" t="str">
        <f>IFERROR(__xludf.DUMMYFUNCTION("""COMPUTED_VALUE"""),"O-US")</f>
        <v>O-US</v>
      </c>
      <c r="C1671" s="12"/>
      <c r="D1671" s="13">
        <f>IFERROR(__xludf.DUMMYFUNCTION("""COMPUTED_VALUE"""),45453.0)</f>
        <v>45453</v>
      </c>
      <c r="E1671" s="13">
        <f>IFERROR(__xludf.DUMMYFUNCTION("""COMPUTED_VALUE"""),45790.0)</f>
        <v>45790</v>
      </c>
      <c r="F1671" s="13">
        <f>IFERROR(__xludf.DUMMYFUNCTION("""COMPUTED_VALUE"""),45790.0)</f>
        <v>45790</v>
      </c>
      <c r="G1671" s="12"/>
      <c r="H1671" s="12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</row>
    <row r="1672">
      <c r="A1672" s="11" t="str">
        <f>IFERROR(__xludf.DUMMYFUNCTION("""COMPUTED_VALUE"""),"Axon Enterprise Inc  Com")</f>
        <v>Axon Enterprise Inc  Com</v>
      </c>
      <c r="B1672" s="12" t="str">
        <f>IFERROR(__xludf.DUMMYFUNCTION("""COMPUTED_VALUE"""),"AXON-US")</f>
        <v>AXON-US</v>
      </c>
      <c r="C1672" s="12"/>
      <c r="D1672" s="13">
        <f>IFERROR(__xludf.DUMMYFUNCTION("""COMPUTED_VALUE"""),45453.0)</f>
        <v>45453</v>
      </c>
      <c r="E1672" s="13">
        <f>IFERROR(__xludf.DUMMYFUNCTION("""COMPUTED_VALUE"""),45806.0)</f>
        <v>45806</v>
      </c>
      <c r="F1672" s="13">
        <f>IFERROR(__xludf.DUMMYFUNCTION("""COMPUTED_VALUE"""),45806.0)</f>
        <v>45806</v>
      </c>
      <c r="G1672" s="12"/>
      <c r="H1672" s="12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</row>
    <row r="1673">
      <c r="A1673" s="11" t="str">
        <f>IFERROR(__xludf.DUMMYFUNCTION("""COMPUTED_VALUE"""),"Vulcan Materials Co  Com")</f>
        <v>Vulcan Materials Co  Com</v>
      </c>
      <c r="B1673" s="12" t="str">
        <f>IFERROR(__xludf.DUMMYFUNCTION("""COMPUTED_VALUE"""),"VMC-US")</f>
        <v>VMC-US</v>
      </c>
      <c r="C1673" s="12"/>
      <c r="D1673" s="13">
        <f>IFERROR(__xludf.DUMMYFUNCTION("""COMPUTED_VALUE"""),45453.0)</f>
        <v>45453</v>
      </c>
      <c r="E1673" s="13">
        <f>IFERROR(__xludf.DUMMYFUNCTION("""COMPUTED_VALUE"""),45786.0)</f>
        <v>45786</v>
      </c>
      <c r="F1673" s="13">
        <f>IFERROR(__xludf.DUMMYFUNCTION("""COMPUTED_VALUE"""),45786.0)</f>
        <v>45786</v>
      </c>
      <c r="G1673" s="12"/>
      <c r="H1673" s="12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</row>
    <row r="1674">
      <c r="A1674" s="11" t="str">
        <f>IFERROR(__xludf.DUMMYFUNCTION("""COMPUTED_VALUE"""),"Weyerhaeuser Co  Com")</f>
        <v>Weyerhaeuser Co  Com</v>
      </c>
      <c r="B1674" s="12" t="str">
        <f>IFERROR(__xludf.DUMMYFUNCTION("""COMPUTED_VALUE"""),"WY-US")</f>
        <v>WY-US</v>
      </c>
      <c r="C1674" s="12"/>
      <c r="D1674" s="13">
        <f>IFERROR(__xludf.DUMMYFUNCTION("""COMPUTED_VALUE"""),45453.0)</f>
        <v>45453</v>
      </c>
      <c r="E1674" s="13">
        <f>IFERROR(__xludf.DUMMYFUNCTION("""COMPUTED_VALUE"""),45786.0)</f>
        <v>45786</v>
      </c>
      <c r="F1674" s="13">
        <f>IFERROR(__xludf.DUMMYFUNCTION("""COMPUTED_VALUE"""),45786.0)</f>
        <v>45786</v>
      </c>
      <c r="G1674" s="12"/>
      <c r="H1674" s="12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</row>
    <row r="1675">
      <c r="A1675" s="11" t="str">
        <f>IFERROR(__xludf.DUMMYFUNCTION("""COMPUTED_VALUE"""),"Zimmer Biomet Holdings Inc  Com")</f>
        <v>Zimmer Biomet Holdings Inc  Com</v>
      </c>
      <c r="B1675" s="12" t="str">
        <f>IFERROR(__xludf.DUMMYFUNCTION("""COMPUTED_VALUE"""),"ZBH-US")</f>
        <v>ZBH-US</v>
      </c>
      <c r="C1675" s="12"/>
      <c r="D1675" s="13">
        <f>IFERROR(__xludf.DUMMYFUNCTION("""COMPUTED_VALUE"""),45453.0)</f>
        <v>45453</v>
      </c>
      <c r="E1675" s="13">
        <f>IFERROR(__xludf.DUMMYFUNCTION("""COMPUTED_VALUE"""),45806.0)</f>
        <v>45806</v>
      </c>
      <c r="F1675" s="13">
        <f>IFERROR(__xludf.DUMMYFUNCTION("""COMPUTED_VALUE"""),45806.0)</f>
        <v>45806</v>
      </c>
      <c r="G1675" s="12"/>
      <c r="H1675" s="12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</row>
    <row r="1676">
      <c r="A1676" s="11" t="str">
        <f>IFERROR(__xludf.DUMMYFUNCTION("""COMPUTED_VALUE"""),"Masco Corp  Com")</f>
        <v>Masco Corp  Com</v>
      </c>
      <c r="B1676" s="12" t="str">
        <f>IFERROR(__xludf.DUMMYFUNCTION("""COMPUTED_VALUE"""),"MAS-US")</f>
        <v>MAS-US</v>
      </c>
      <c r="C1676" s="12"/>
      <c r="D1676" s="13">
        <f>IFERROR(__xludf.DUMMYFUNCTION("""COMPUTED_VALUE"""),45453.0)</f>
        <v>45453</v>
      </c>
      <c r="E1676" s="13">
        <f>IFERROR(__xludf.DUMMYFUNCTION("""COMPUTED_VALUE"""),45786.0)</f>
        <v>45786</v>
      </c>
      <c r="F1676" s="13">
        <f>IFERROR(__xludf.DUMMYFUNCTION("""COMPUTED_VALUE"""),45786.0)</f>
        <v>45786</v>
      </c>
      <c r="G1676" s="12"/>
      <c r="H1676" s="12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</row>
    <row r="1677">
      <c r="A1677" s="11" t="str">
        <f>IFERROR(__xludf.DUMMYFUNCTION("""COMPUTED_VALUE"""),"Tradeweb Markets Inc  Cl A")</f>
        <v>Tradeweb Markets Inc  Cl A</v>
      </c>
      <c r="B1677" s="12" t="str">
        <f>IFERROR(__xludf.DUMMYFUNCTION("""COMPUTED_VALUE"""),"TW-US")</f>
        <v>TW-US</v>
      </c>
      <c r="C1677" s="12"/>
      <c r="D1677" s="13">
        <f>IFERROR(__xludf.DUMMYFUNCTION("""COMPUTED_VALUE"""),45453.0)</f>
        <v>45453</v>
      </c>
      <c r="E1677" s="13">
        <f>IFERROR(__xludf.DUMMYFUNCTION("""COMPUTED_VALUE"""),45797.0)</f>
        <v>45797</v>
      </c>
      <c r="F1677" s="13">
        <f>IFERROR(__xludf.DUMMYFUNCTION("""COMPUTED_VALUE"""),45797.0)</f>
        <v>45797</v>
      </c>
      <c r="G1677" s="12"/>
      <c r="H1677" s="12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</row>
    <row r="1678">
      <c r="A1678" s="11" t="str">
        <f>IFERROR(__xludf.DUMMYFUNCTION("""COMPUTED_VALUE"""),"Akamai Technologies Inc  Com")</f>
        <v>Akamai Technologies Inc  Com</v>
      </c>
      <c r="B1678" s="12" t="str">
        <f>IFERROR(__xludf.DUMMYFUNCTION("""COMPUTED_VALUE"""),"AKAM-US")</f>
        <v>AKAM-US</v>
      </c>
      <c r="C1678" s="12"/>
      <c r="D1678" s="13">
        <f>IFERROR(__xludf.DUMMYFUNCTION("""COMPUTED_VALUE"""),45453.0)</f>
        <v>45453</v>
      </c>
      <c r="E1678" s="13">
        <f>IFERROR(__xludf.DUMMYFUNCTION("""COMPUTED_VALUE"""),45791.0)</f>
        <v>45791</v>
      </c>
      <c r="F1678" s="13">
        <f>IFERROR(__xludf.DUMMYFUNCTION("""COMPUTED_VALUE"""),45791.0)</f>
        <v>45791</v>
      </c>
      <c r="G1678" s="12"/>
      <c r="H1678" s="12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</row>
    <row r="1679">
      <c r="A1679" s="11" t="str">
        <f>IFERROR(__xludf.DUMMYFUNCTION("""COMPUTED_VALUE"""),"American Homes 4 Rent  Cl A")</f>
        <v>American Homes 4 Rent  Cl A</v>
      </c>
      <c r="B1679" s="12" t="str">
        <f>IFERROR(__xludf.DUMMYFUNCTION("""COMPUTED_VALUE"""),"AMH-US")</f>
        <v>AMH-US</v>
      </c>
      <c r="C1679" s="12"/>
      <c r="D1679" s="13">
        <f>IFERROR(__xludf.DUMMYFUNCTION("""COMPUTED_VALUE"""),45453.0)</f>
        <v>45453</v>
      </c>
      <c r="E1679" s="13">
        <f>IFERROR(__xludf.DUMMYFUNCTION("""COMPUTED_VALUE"""),45784.0)</f>
        <v>45784</v>
      </c>
      <c r="F1679" s="13">
        <f>IFERROR(__xludf.DUMMYFUNCTION("""COMPUTED_VALUE"""),45784.0)</f>
        <v>45784</v>
      </c>
      <c r="G1679" s="12"/>
      <c r="H1679" s="12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</row>
    <row r="1680">
      <c r="A1680" s="11" t="str">
        <f>IFERROR(__xludf.DUMMYFUNCTION("""COMPUTED_VALUE"""),"Camden Property Trust  Sbi")</f>
        <v>Camden Property Trust  Sbi</v>
      </c>
      <c r="B1680" s="12" t="str">
        <f>IFERROR(__xludf.DUMMYFUNCTION("""COMPUTED_VALUE"""),"CPT-US")</f>
        <v>CPT-US</v>
      </c>
      <c r="C1680" s="12"/>
      <c r="D1680" s="13">
        <f>IFERROR(__xludf.DUMMYFUNCTION("""COMPUTED_VALUE"""),45453.0)</f>
        <v>45453</v>
      </c>
      <c r="E1680" s="13">
        <f>IFERROR(__xludf.DUMMYFUNCTION("""COMPUTED_VALUE"""),45786.0)</f>
        <v>45786</v>
      </c>
      <c r="F1680" s="13">
        <f>IFERROR(__xludf.DUMMYFUNCTION("""COMPUTED_VALUE"""),45786.0)</f>
        <v>45786</v>
      </c>
      <c r="G1680" s="12"/>
      <c r="H1680" s="12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</row>
    <row r="1681">
      <c r="A1681" s="11" t="str">
        <f>IFERROR(__xludf.DUMMYFUNCTION("""COMPUTED_VALUE"""),"Dt Midstream Inc  Com")</f>
        <v>Dt Midstream Inc  Com</v>
      </c>
      <c r="B1681" s="12" t="str">
        <f>IFERROR(__xludf.DUMMYFUNCTION("""COMPUTED_VALUE"""),"DTM-US")</f>
        <v>DTM-US</v>
      </c>
      <c r="C1681" s="12"/>
      <c r="D1681" s="13">
        <f>IFERROR(__xludf.DUMMYFUNCTION("""COMPUTED_VALUE"""),45453.0)</f>
        <v>45453</v>
      </c>
      <c r="E1681" s="13">
        <f>IFERROR(__xludf.DUMMYFUNCTION("""COMPUTED_VALUE"""),45783.0)</f>
        <v>45783</v>
      </c>
      <c r="F1681" s="13">
        <f>IFERROR(__xludf.DUMMYFUNCTION("""COMPUTED_VALUE"""),45783.0)</f>
        <v>45783</v>
      </c>
      <c r="G1681" s="12"/>
      <c r="H1681" s="12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</row>
    <row r="1682">
      <c r="A1682" s="11" t="str">
        <f>IFERROR(__xludf.DUMMYFUNCTION("""COMPUTED_VALUE"""),"Morningstar Inc  Com")</f>
        <v>Morningstar Inc  Com</v>
      </c>
      <c r="B1682" s="12" t="str">
        <f>IFERROR(__xludf.DUMMYFUNCTION("""COMPUTED_VALUE"""),"MORN-US")</f>
        <v>MORN-US</v>
      </c>
      <c r="C1682" s="12"/>
      <c r="D1682" s="13">
        <f>IFERROR(__xludf.DUMMYFUNCTION("""COMPUTED_VALUE"""),45453.0)</f>
        <v>45453</v>
      </c>
      <c r="E1682" s="13">
        <f>IFERROR(__xludf.DUMMYFUNCTION("""COMPUTED_VALUE"""),45786.0)</f>
        <v>45786</v>
      </c>
      <c r="F1682" s="13">
        <f>IFERROR(__xludf.DUMMYFUNCTION("""COMPUTED_VALUE"""),45786.0)</f>
        <v>45786</v>
      </c>
      <c r="G1682" s="12"/>
      <c r="H1682" s="12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</row>
    <row r="1683">
      <c r="A1683" s="11" t="str">
        <f>IFERROR(__xludf.DUMMYFUNCTION("""COMPUTED_VALUE"""),"Louisiana Pacific Corp  Com")</f>
        <v>Louisiana Pacific Corp  Com</v>
      </c>
      <c r="B1683" s="12" t="str">
        <f>IFERROR(__xludf.DUMMYFUNCTION("""COMPUTED_VALUE"""),"LPX-US")</f>
        <v>LPX-US</v>
      </c>
      <c r="C1683" s="12"/>
      <c r="D1683" s="13">
        <f>IFERROR(__xludf.DUMMYFUNCTION("""COMPUTED_VALUE"""),45454.0)</f>
        <v>45454</v>
      </c>
      <c r="E1683" s="13">
        <f>IFERROR(__xludf.DUMMYFUNCTION("""COMPUTED_VALUE"""),45785.0)</f>
        <v>45785</v>
      </c>
      <c r="F1683" s="13">
        <f>IFERROR(__xludf.DUMMYFUNCTION("""COMPUTED_VALUE"""),45785.0)</f>
        <v>45785</v>
      </c>
      <c r="G1683" s="12"/>
      <c r="H1683" s="12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</row>
    <row r="1684">
      <c r="A1684" s="11" t="str">
        <f>IFERROR(__xludf.DUMMYFUNCTION("""COMPUTED_VALUE"""),"Jbt Marel Corp  Com")</f>
        <v>Jbt Marel Corp  Com</v>
      </c>
      <c r="B1684" s="12" t="str">
        <f>IFERROR(__xludf.DUMMYFUNCTION("""COMPUTED_VALUE"""),"JBTM-US")</f>
        <v>JBTM-US</v>
      </c>
      <c r="C1684" s="12"/>
      <c r="D1684" s="13">
        <f>IFERROR(__xludf.DUMMYFUNCTION("""COMPUTED_VALUE"""),45454.0)</f>
        <v>45454</v>
      </c>
      <c r="E1684" s="13">
        <f>IFERROR(__xludf.DUMMYFUNCTION("""COMPUTED_VALUE"""),45792.0)</f>
        <v>45792</v>
      </c>
      <c r="F1684" s="13">
        <f>IFERROR(__xludf.DUMMYFUNCTION("""COMPUTED_VALUE"""),45792.0)</f>
        <v>45792</v>
      </c>
      <c r="G1684" s="12"/>
      <c r="H1684" s="12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</row>
    <row r="1685">
      <c r="A1685" s="11" t="str">
        <f>IFERROR(__xludf.DUMMYFUNCTION("""COMPUTED_VALUE"""),"Marriott Vacations Worldwide  Com")</f>
        <v>Marriott Vacations Worldwide  Com</v>
      </c>
      <c r="B1685" s="12" t="str">
        <f>IFERROR(__xludf.DUMMYFUNCTION("""COMPUTED_VALUE"""),"VAC-US")</f>
        <v>VAC-US</v>
      </c>
      <c r="C1685" s="12"/>
      <c r="D1685" s="13">
        <f>IFERROR(__xludf.DUMMYFUNCTION("""COMPUTED_VALUE"""),45454.0)</f>
        <v>45454</v>
      </c>
      <c r="E1685" s="13">
        <f>IFERROR(__xludf.DUMMYFUNCTION("""COMPUTED_VALUE"""),45790.0)</f>
        <v>45790</v>
      </c>
      <c r="F1685" s="13">
        <f>IFERROR(__xludf.DUMMYFUNCTION("""COMPUTED_VALUE"""),45790.0)</f>
        <v>45790</v>
      </c>
      <c r="G1685" s="12"/>
      <c r="H1685" s="12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</row>
    <row r="1686">
      <c r="A1686" s="11" t="str">
        <f>IFERROR(__xludf.DUMMYFUNCTION("""COMPUTED_VALUE"""),"Innospec Inc  Com")</f>
        <v>Innospec Inc  Com</v>
      </c>
      <c r="B1686" s="12" t="str">
        <f>IFERROR(__xludf.DUMMYFUNCTION("""COMPUTED_VALUE"""),"IOSP-US")</f>
        <v>IOSP-US</v>
      </c>
      <c r="C1686" s="12"/>
      <c r="D1686" s="13">
        <f>IFERROR(__xludf.DUMMYFUNCTION("""COMPUTED_VALUE"""),45454.0)</f>
        <v>45454</v>
      </c>
      <c r="E1686" s="13">
        <f>IFERROR(__xludf.DUMMYFUNCTION("""COMPUTED_VALUE"""),45786.0)</f>
        <v>45786</v>
      </c>
      <c r="F1686" s="13">
        <f>IFERROR(__xludf.DUMMYFUNCTION("""COMPUTED_VALUE"""),45786.0)</f>
        <v>45786</v>
      </c>
      <c r="G1686" s="12"/>
      <c r="H1686" s="12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</row>
    <row r="1687">
      <c r="A1687" s="11" t="str">
        <f>IFERROR(__xludf.DUMMYFUNCTION("""COMPUTED_VALUE"""),"Oceaneering International Inc  Com")</f>
        <v>Oceaneering International Inc  Com</v>
      </c>
      <c r="B1687" s="12" t="str">
        <f>IFERROR(__xludf.DUMMYFUNCTION("""COMPUTED_VALUE"""),"OII-US")</f>
        <v>OII-US</v>
      </c>
      <c r="C1687" s="12"/>
      <c r="D1687" s="13">
        <f>IFERROR(__xludf.DUMMYFUNCTION("""COMPUTED_VALUE"""),45454.0)</f>
        <v>45454</v>
      </c>
      <c r="E1687" s="13">
        <f>IFERROR(__xludf.DUMMYFUNCTION("""COMPUTED_VALUE"""),45786.0)</f>
        <v>45786</v>
      </c>
      <c r="F1687" s="13">
        <f>IFERROR(__xludf.DUMMYFUNCTION("""COMPUTED_VALUE"""),45786.0)</f>
        <v>45786</v>
      </c>
      <c r="G1687" s="12"/>
      <c r="H1687" s="12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</row>
    <row r="1688">
      <c r="A1688" s="11" t="str">
        <f>IFERROR(__xludf.DUMMYFUNCTION("""COMPUTED_VALUE"""),"Albany International Corp  Cl A")</f>
        <v>Albany International Corp  Cl A</v>
      </c>
      <c r="B1688" s="12" t="str">
        <f>IFERROR(__xludf.DUMMYFUNCTION("""COMPUTED_VALUE"""),"AIN-US")</f>
        <v>AIN-US</v>
      </c>
      <c r="C1688" s="12"/>
      <c r="D1688" s="13">
        <f>IFERROR(__xludf.DUMMYFUNCTION("""COMPUTED_VALUE"""),45454.0)</f>
        <v>45454</v>
      </c>
      <c r="E1688" s="13">
        <f>IFERROR(__xludf.DUMMYFUNCTION("""COMPUTED_VALUE"""),45793.0)</f>
        <v>45793</v>
      </c>
      <c r="F1688" s="13">
        <f>IFERROR(__xludf.DUMMYFUNCTION("""COMPUTED_VALUE"""),45793.0)</f>
        <v>45793</v>
      </c>
      <c r="G1688" s="12"/>
      <c r="H1688" s="12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</row>
    <row r="1689">
      <c r="A1689" s="11" t="str">
        <f>IFERROR(__xludf.DUMMYFUNCTION("""COMPUTED_VALUE"""),"Chefs Warehouse Inc  Com")</f>
        <v>Chefs Warehouse Inc  Com</v>
      </c>
      <c r="B1689" s="12" t="str">
        <f>IFERROR(__xludf.DUMMYFUNCTION("""COMPUTED_VALUE"""),"CHEF-US")</f>
        <v>CHEF-US</v>
      </c>
      <c r="C1689" s="12"/>
      <c r="D1689" s="13">
        <f>IFERROR(__xludf.DUMMYFUNCTION("""COMPUTED_VALUE"""),45454.0)</f>
        <v>45454</v>
      </c>
      <c r="E1689" s="13">
        <f>IFERROR(__xludf.DUMMYFUNCTION("""COMPUTED_VALUE"""),45786.0)</f>
        <v>45786</v>
      </c>
      <c r="F1689" s="13">
        <f>IFERROR(__xludf.DUMMYFUNCTION("""COMPUTED_VALUE"""),45786.0)</f>
        <v>45786</v>
      </c>
      <c r="G1689" s="12"/>
      <c r="H1689" s="12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</row>
    <row r="1690">
      <c r="A1690" s="11" t="str">
        <f>IFERROR(__xludf.DUMMYFUNCTION("""COMPUTED_VALUE"""),"Diversified Energy (Gas &amp; Oil)  Ord")</f>
        <v>Diversified Energy (Gas &amp; Oil)  Ord</v>
      </c>
      <c r="B1690" s="12" t="str">
        <f>IFERROR(__xludf.DUMMYFUNCTION("""COMPUTED_VALUE"""),"DEC-GB")</f>
        <v>DEC-GB</v>
      </c>
      <c r="C1690" s="12"/>
      <c r="D1690" s="13">
        <f>IFERROR(__xludf.DUMMYFUNCTION("""COMPUTED_VALUE"""),45454.0)</f>
        <v>45454</v>
      </c>
      <c r="E1690" s="13">
        <f>IFERROR(__xludf.DUMMYFUNCTION("""COMPUTED_VALUE"""),45756.0)</f>
        <v>45756</v>
      </c>
      <c r="F1690" s="13">
        <f>IFERROR(__xludf.DUMMYFUNCTION("""COMPUTED_VALUE"""),45756.0)</f>
        <v>45756</v>
      </c>
      <c r="G1690" s="12"/>
      <c r="H1690" s="12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</row>
    <row r="1691">
      <c r="A1691" s="11" t="str">
        <f>IFERROR(__xludf.DUMMYFUNCTION("""COMPUTED_VALUE"""),"Riley Exploration Permian Inc  Com")</f>
        <v>Riley Exploration Permian Inc  Com</v>
      </c>
      <c r="B1691" s="12" t="str">
        <f>IFERROR(__xludf.DUMMYFUNCTION("""COMPUTED_VALUE"""),"REPX-US")</f>
        <v>REPX-US</v>
      </c>
      <c r="C1691" s="12"/>
      <c r="D1691" s="13">
        <f>IFERROR(__xludf.DUMMYFUNCTION("""COMPUTED_VALUE"""),45454.0)</f>
        <v>45454</v>
      </c>
      <c r="E1691" s="13">
        <f>IFERROR(__xludf.DUMMYFUNCTION("""COMPUTED_VALUE"""),45786.0)</f>
        <v>45786</v>
      </c>
      <c r="F1691" s="13">
        <f>IFERROR(__xludf.DUMMYFUNCTION("""COMPUTED_VALUE"""),45786.0)</f>
        <v>45786</v>
      </c>
      <c r="G1691" s="12"/>
      <c r="H1691" s="12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</row>
    <row r="1692">
      <c r="A1692" s="11" t="str">
        <f>IFERROR(__xludf.DUMMYFUNCTION("""COMPUTED_VALUE"""),"Lexicon Pharmaceuticals Inc  Com")</f>
        <v>Lexicon Pharmaceuticals Inc  Com</v>
      </c>
      <c r="B1692" s="12" t="str">
        <f>IFERROR(__xludf.DUMMYFUNCTION("""COMPUTED_VALUE"""),"LXRX-US")</f>
        <v>LXRX-US</v>
      </c>
      <c r="C1692" s="12"/>
      <c r="D1692" s="13">
        <f>IFERROR(__xludf.DUMMYFUNCTION("""COMPUTED_VALUE"""),45454.0)</f>
        <v>45454</v>
      </c>
      <c r="E1692" s="13">
        <f>IFERROR(__xludf.DUMMYFUNCTION("""COMPUTED_VALUE"""),45810.0)</f>
        <v>45810</v>
      </c>
      <c r="F1692" s="13">
        <f>IFERROR(__xludf.DUMMYFUNCTION("""COMPUTED_VALUE"""),45810.0)</f>
        <v>45810</v>
      </c>
      <c r="G1692" s="12"/>
      <c r="H1692" s="12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</row>
    <row r="1693">
      <c r="A1693" s="11" t="str">
        <f>IFERROR(__xludf.DUMMYFUNCTION("""COMPUTED_VALUE"""),"Verizon Communications Inc  Com")</f>
        <v>Verizon Communications Inc  Com</v>
      </c>
      <c r="B1693" s="12" t="str">
        <f>IFERROR(__xludf.DUMMYFUNCTION("""COMPUTED_VALUE"""),"VZ-US")</f>
        <v>VZ-US</v>
      </c>
      <c r="C1693" s="12"/>
      <c r="D1693" s="13">
        <f>IFERROR(__xludf.DUMMYFUNCTION("""COMPUTED_VALUE"""),45454.0)</f>
        <v>45454</v>
      </c>
      <c r="E1693" s="13">
        <f>IFERROR(__xludf.DUMMYFUNCTION("""COMPUTED_VALUE"""),45799.0)</f>
        <v>45799</v>
      </c>
      <c r="F1693" s="13">
        <f>IFERROR(__xludf.DUMMYFUNCTION("""COMPUTED_VALUE"""),45799.0)</f>
        <v>45799</v>
      </c>
      <c r="G1693" s="12"/>
      <c r="H1693" s="12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</row>
    <row r="1694">
      <c r="A1694" s="11" t="str">
        <f>IFERROR(__xludf.DUMMYFUNCTION("""COMPUTED_VALUE"""),"Union Pacific Corp  Com")</f>
        <v>Union Pacific Corp  Com</v>
      </c>
      <c r="B1694" s="12" t="str">
        <f>IFERROR(__xludf.DUMMYFUNCTION("""COMPUTED_VALUE"""),"UNP-US")</f>
        <v>UNP-US</v>
      </c>
      <c r="C1694" s="12"/>
      <c r="D1694" s="13">
        <f>IFERROR(__xludf.DUMMYFUNCTION("""COMPUTED_VALUE"""),45454.0)</f>
        <v>45454</v>
      </c>
      <c r="E1694" s="13">
        <f>IFERROR(__xludf.DUMMYFUNCTION("""COMPUTED_VALUE"""),45785.0)</f>
        <v>45785</v>
      </c>
      <c r="F1694" s="13">
        <f>IFERROR(__xludf.DUMMYFUNCTION("""COMPUTED_VALUE"""),45785.0)</f>
        <v>45785</v>
      </c>
      <c r="G1694" s="12"/>
      <c r="H1694" s="12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</row>
    <row r="1695">
      <c r="A1695" s="11" t="str">
        <f>IFERROR(__xludf.DUMMYFUNCTION("""COMPUTED_VALUE"""),"Stryker Corp  Com")</f>
        <v>Stryker Corp  Com</v>
      </c>
      <c r="B1695" s="12" t="str">
        <f>IFERROR(__xludf.DUMMYFUNCTION("""COMPUTED_VALUE"""),"SYK-US")</f>
        <v>SYK-US</v>
      </c>
      <c r="C1695" s="12"/>
      <c r="D1695" s="13">
        <f>IFERROR(__xludf.DUMMYFUNCTION("""COMPUTED_VALUE"""),45454.0)</f>
        <v>45454</v>
      </c>
      <c r="E1695" s="13">
        <f>IFERROR(__xludf.DUMMYFUNCTION("""COMPUTED_VALUE"""),45785.0)</f>
        <v>45785</v>
      </c>
      <c r="F1695" s="13">
        <f>IFERROR(__xludf.DUMMYFUNCTION("""COMPUTED_VALUE"""),45785.0)</f>
        <v>45785</v>
      </c>
      <c r="G1695" s="12"/>
      <c r="H1695" s="12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</row>
    <row r="1696">
      <c r="A1696" s="11" t="str">
        <f>IFERROR(__xludf.DUMMYFUNCTION("""COMPUTED_VALUE"""),"Prologis Inc  Com")</f>
        <v>Prologis Inc  Com</v>
      </c>
      <c r="B1696" s="12" t="str">
        <f>IFERROR(__xludf.DUMMYFUNCTION("""COMPUTED_VALUE"""),"PLD-US")</f>
        <v>PLD-US</v>
      </c>
      <c r="C1696" s="12"/>
      <c r="D1696" s="13">
        <f>IFERROR(__xludf.DUMMYFUNCTION("""COMPUTED_VALUE"""),45454.0)</f>
        <v>45454</v>
      </c>
      <c r="E1696" s="13">
        <f>IFERROR(__xludf.DUMMYFUNCTION("""COMPUTED_VALUE"""),45785.0)</f>
        <v>45785</v>
      </c>
      <c r="F1696" s="13">
        <f>IFERROR(__xludf.DUMMYFUNCTION("""COMPUTED_VALUE"""),45785.0)</f>
        <v>45785</v>
      </c>
      <c r="G1696" s="12"/>
      <c r="H1696" s="12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</row>
    <row r="1697">
      <c r="A1697" s="11" t="str">
        <f>IFERROR(__xludf.DUMMYFUNCTION("""COMPUTED_VALUE"""),"Duke Energy Corp  Com")</f>
        <v>Duke Energy Corp  Com</v>
      </c>
      <c r="B1697" s="12" t="str">
        <f>IFERROR(__xludf.DUMMYFUNCTION("""COMPUTED_VALUE"""),"DUK-US")</f>
        <v>DUK-US</v>
      </c>
      <c r="C1697" s="12"/>
      <c r="D1697" s="13">
        <f>IFERROR(__xludf.DUMMYFUNCTION("""COMPUTED_VALUE"""),45454.0)</f>
        <v>45454</v>
      </c>
      <c r="E1697" s="13">
        <f>IFERROR(__xludf.DUMMYFUNCTION("""COMPUTED_VALUE"""),45778.0)</f>
        <v>45778</v>
      </c>
      <c r="F1697" s="13">
        <f>IFERROR(__xludf.DUMMYFUNCTION("""COMPUTED_VALUE"""),45778.0)</f>
        <v>45778</v>
      </c>
      <c r="G1697" s="12"/>
      <c r="H1697" s="12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</row>
    <row r="1698">
      <c r="A1698" s="11" t="str">
        <f>IFERROR(__xludf.DUMMYFUNCTION("""COMPUTED_VALUE"""),"Cme Group Inc  Cl A")</f>
        <v>Cme Group Inc  Cl A</v>
      </c>
      <c r="B1698" s="12" t="str">
        <f>IFERROR(__xludf.DUMMYFUNCTION("""COMPUTED_VALUE"""),"CME-US")</f>
        <v>CME-US</v>
      </c>
      <c r="C1698" s="12"/>
      <c r="D1698" s="13">
        <f>IFERROR(__xludf.DUMMYFUNCTION("""COMPUTED_VALUE"""),45454.0)</f>
        <v>45454</v>
      </c>
      <c r="E1698" s="13">
        <f>IFERROR(__xludf.DUMMYFUNCTION("""COMPUTED_VALUE"""),45785.0)</f>
        <v>45785</v>
      </c>
      <c r="F1698" s="13">
        <f>IFERROR(__xludf.DUMMYFUNCTION("""COMPUTED_VALUE"""),45785.0)</f>
        <v>45785</v>
      </c>
      <c r="G1698" s="12"/>
      <c r="H1698" s="12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</row>
    <row r="1699">
      <c r="A1699" s="11" t="str">
        <f>IFERROR(__xludf.DUMMYFUNCTION("""COMPUTED_VALUE"""),"Sempra  Com")</f>
        <v>Sempra  Com</v>
      </c>
      <c r="B1699" s="12" t="str">
        <f>IFERROR(__xludf.DUMMYFUNCTION("""COMPUTED_VALUE"""),"SRE-US")</f>
        <v>SRE-US</v>
      </c>
      <c r="C1699" s="12"/>
      <c r="D1699" s="13">
        <f>IFERROR(__xludf.DUMMYFUNCTION("""COMPUTED_VALUE"""),45454.0)</f>
        <v>45454</v>
      </c>
      <c r="E1699" s="13">
        <f>IFERROR(__xludf.DUMMYFUNCTION("""COMPUTED_VALUE"""),45790.0)</f>
        <v>45790</v>
      </c>
      <c r="F1699" s="13">
        <f>IFERROR(__xludf.DUMMYFUNCTION("""COMPUTED_VALUE"""),45790.0)</f>
        <v>45790</v>
      </c>
      <c r="G1699" s="12"/>
      <c r="H1699" s="12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</row>
    <row r="1700">
      <c r="A1700" s="11" t="str">
        <f>IFERROR(__xludf.DUMMYFUNCTION("""COMPUTED_VALUE"""),"Norfolk Southern Corp  Com")</f>
        <v>Norfolk Southern Corp  Com</v>
      </c>
      <c r="B1700" s="12" t="str">
        <f>IFERROR(__xludf.DUMMYFUNCTION("""COMPUTED_VALUE"""),"NSC-US")</f>
        <v>NSC-US</v>
      </c>
      <c r="C1700" s="12"/>
      <c r="D1700" s="13">
        <f>IFERROR(__xludf.DUMMYFUNCTION("""COMPUTED_VALUE"""),45454.0)</f>
        <v>45454</v>
      </c>
      <c r="E1700" s="13">
        <f>IFERROR(__xludf.DUMMYFUNCTION("""COMPUTED_VALUE"""),45785.0)</f>
        <v>45785</v>
      </c>
      <c r="F1700" s="13">
        <f>IFERROR(__xludf.DUMMYFUNCTION("""COMPUTED_VALUE"""),45785.0)</f>
        <v>45785</v>
      </c>
      <c r="G1700" s="12"/>
      <c r="H1700" s="12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</row>
    <row r="1701">
      <c r="A1701" s="11" t="str">
        <f>IFERROR(__xludf.DUMMYFUNCTION("""COMPUTED_VALUE"""),"United Rentals Inc  Com")</f>
        <v>United Rentals Inc  Com</v>
      </c>
      <c r="B1701" s="12" t="str">
        <f>IFERROR(__xludf.DUMMYFUNCTION("""COMPUTED_VALUE"""),"URI-US")</f>
        <v>URI-US</v>
      </c>
      <c r="C1701" s="12"/>
      <c r="D1701" s="13">
        <f>IFERROR(__xludf.DUMMYFUNCTION("""COMPUTED_VALUE"""),45454.0)</f>
        <v>45454</v>
      </c>
      <c r="E1701" s="13">
        <f>IFERROR(__xludf.DUMMYFUNCTION("""COMPUTED_VALUE"""),45785.0)</f>
        <v>45785</v>
      </c>
      <c r="F1701" s="13">
        <f>IFERROR(__xludf.DUMMYFUNCTION("""COMPUTED_VALUE"""),45785.0)</f>
        <v>45785</v>
      </c>
      <c r="G1701" s="12"/>
      <c r="H1701" s="12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</row>
    <row r="1702">
      <c r="A1702" s="11" t="str">
        <f>IFERROR(__xludf.DUMMYFUNCTION("""COMPUTED_VALUE"""),"Ford Motor Co  Com")</f>
        <v>Ford Motor Co  Com</v>
      </c>
      <c r="B1702" s="12" t="str">
        <f>IFERROR(__xludf.DUMMYFUNCTION("""COMPUTED_VALUE"""),"F-US")</f>
        <v>F-US</v>
      </c>
      <c r="C1702" s="12"/>
      <c r="D1702" s="13">
        <f>IFERROR(__xludf.DUMMYFUNCTION("""COMPUTED_VALUE"""),45454.0)</f>
        <v>45454</v>
      </c>
      <c r="E1702" s="13">
        <f>IFERROR(__xludf.DUMMYFUNCTION("""COMPUTED_VALUE"""),45785.0)</f>
        <v>45785</v>
      </c>
      <c r="F1702" s="13">
        <f>IFERROR(__xludf.DUMMYFUNCTION("""COMPUTED_VALUE"""),45785.0)</f>
        <v>45785</v>
      </c>
      <c r="G1702" s="12"/>
      <c r="H1702" s="12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</row>
    <row r="1703">
      <c r="A1703" s="11" t="str">
        <f>IFERROR(__xludf.DUMMYFUNCTION("""COMPUTED_VALUE"""),"Arch Capital Group Ltd  Ord")</f>
        <v>Arch Capital Group Ltd  Ord</v>
      </c>
      <c r="B1703" s="12" t="str">
        <f>IFERROR(__xludf.DUMMYFUNCTION("""COMPUTED_VALUE"""),"ACGL-US")</f>
        <v>ACGL-US</v>
      </c>
      <c r="C1703" s="12"/>
      <c r="D1703" s="13">
        <f>IFERROR(__xludf.DUMMYFUNCTION("""COMPUTED_VALUE"""),45454.0)</f>
        <v>45454</v>
      </c>
      <c r="E1703" s="13">
        <f>IFERROR(__xludf.DUMMYFUNCTION("""COMPUTED_VALUE"""),45784.0)</f>
        <v>45784</v>
      </c>
      <c r="F1703" s="13">
        <f>IFERROR(__xludf.DUMMYFUNCTION("""COMPUTED_VALUE"""),45784.0)</f>
        <v>45784</v>
      </c>
      <c r="G1703" s="12"/>
      <c r="H1703" s="12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</row>
    <row r="1704">
      <c r="A1704" s="11" t="str">
        <f>IFERROR(__xludf.DUMMYFUNCTION("""COMPUTED_VALUE"""),"Tractor Supply Co  Com")</f>
        <v>Tractor Supply Co  Com</v>
      </c>
      <c r="B1704" s="12" t="str">
        <f>IFERROR(__xludf.DUMMYFUNCTION("""COMPUTED_VALUE"""),"TSCO-US")</f>
        <v>TSCO-US</v>
      </c>
      <c r="C1704" s="12"/>
      <c r="D1704" s="13">
        <f>IFERROR(__xludf.DUMMYFUNCTION("""COMPUTED_VALUE"""),45454.0)</f>
        <v>45454</v>
      </c>
      <c r="E1704" s="13">
        <f>IFERROR(__xludf.DUMMYFUNCTION("""COMPUTED_VALUE"""),45792.0)</f>
        <v>45792</v>
      </c>
      <c r="F1704" s="13">
        <f>IFERROR(__xludf.DUMMYFUNCTION("""COMPUTED_VALUE"""),45792.0)</f>
        <v>45792</v>
      </c>
      <c r="G1704" s="12"/>
      <c r="H1704" s="12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</row>
    <row r="1705">
      <c r="A1705" s="11" t="str">
        <f>IFERROR(__xludf.DUMMYFUNCTION("""COMPUTED_VALUE"""),"Nucor Corp  Com")</f>
        <v>Nucor Corp  Com</v>
      </c>
      <c r="B1705" s="12" t="str">
        <f>IFERROR(__xludf.DUMMYFUNCTION("""COMPUTED_VALUE"""),"NUE-US")</f>
        <v>NUE-US</v>
      </c>
      <c r="C1705" s="12"/>
      <c r="D1705" s="13">
        <f>IFERROR(__xludf.DUMMYFUNCTION("""COMPUTED_VALUE"""),45454.0)</f>
        <v>45454</v>
      </c>
      <c r="E1705" s="13">
        <f>IFERROR(__xludf.DUMMYFUNCTION("""COMPUTED_VALUE"""),45785.0)</f>
        <v>45785</v>
      </c>
      <c r="F1705" s="13">
        <f>IFERROR(__xludf.DUMMYFUNCTION("""COMPUTED_VALUE"""),45785.0)</f>
        <v>45785</v>
      </c>
      <c r="G1705" s="12"/>
      <c r="H1705" s="12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</row>
    <row r="1706">
      <c r="A1706" s="11" t="str">
        <f>IFERROR(__xludf.DUMMYFUNCTION("""COMPUTED_VALUE"""),"Wec Energy Group Inc  Com")</f>
        <v>Wec Energy Group Inc  Com</v>
      </c>
      <c r="B1706" s="12" t="str">
        <f>IFERROR(__xludf.DUMMYFUNCTION("""COMPUTED_VALUE"""),"WEC-US")</f>
        <v>WEC-US</v>
      </c>
      <c r="C1706" s="12"/>
      <c r="D1706" s="13">
        <f>IFERROR(__xludf.DUMMYFUNCTION("""COMPUTED_VALUE"""),45454.0)</f>
        <v>45454</v>
      </c>
      <c r="E1706" s="13">
        <f>IFERROR(__xludf.DUMMYFUNCTION("""COMPUTED_VALUE"""),45785.0)</f>
        <v>45785</v>
      </c>
      <c r="F1706" s="13">
        <f>IFERROR(__xludf.DUMMYFUNCTION("""COMPUTED_VALUE"""),45785.0)</f>
        <v>45785</v>
      </c>
      <c r="G1706" s="12"/>
      <c r="H1706" s="12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</row>
    <row r="1707">
      <c r="A1707" s="11" t="str">
        <f>IFERROR(__xludf.DUMMYFUNCTION("""COMPUTED_VALUE"""),"Mettler Toledo International  Com")</f>
        <v>Mettler Toledo International  Com</v>
      </c>
      <c r="B1707" s="12" t="str">
        <f>IFERROR(__xludf.DUMMYFUNCTION("""COMPUTED_VALUE"""),"MTD-US")</f>
        <v>MTD-US</v>
      </c>
      <c r="C1707" s="12"/>
      <c r="D1707" s="13">
        <f>IFERROR(__xludf.DUMMYFUNCTION("""COMPUTED_VALUE"""),45454.0)</f>
        <v>45454</v>
      </c>
      <c r="E1707" s="13">
        <f>IFERROR(__xludf.DUMMYFUNCTION("""COMPUTED_VALUE"""),45778.0)</f>
        <v>45778</v>
      </c>
      <c r="F1707" s="13">
        <f>IFERROR(__xludf.DUMMYFUNCTION("""COMPUTED_VALUE"""),45778.0)</f>
        <v>45778</v>
      </c>
      <c r="G1707" s="12"/>
      <c r="H1707" s="12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</row>
    <row r="1708">
      <c r="A1708" s="11" t="str">
        <f>IFERROR(__xludf.DUMMYFUNCTION("""COMPUTED_VALUE"""),"Lpl Financial Holdings Inc  Com")</f>
        <v>Lpl Financial Holdings Inc  Com</v>
      </c>
      <c r="B1708" s="12" t="str">
        <f>IFERROR(__xludf.DUMMYFUNCTION("""COMPUTED_VALUE"""),"LPLA-US")</f>
        <v>LPLA-US</v>
      </c>
      <c r="C1708" s="12"/>
      <c r="D1708" s="13">
        <f>IFERROR(__xludf.DUMMYFUNCTION("""COMPUTED_VALUE"""),45454.0)</f>
        <v>45454</v>
      </c>
      <c r="E1708" s="13">
        <f>IFERROR(__xludf.DUMMYFUNCTION("""COMPUTED_VALUE"""),45799.0)</f>
        <v>45799</v>
      </c>
      <c r="F1708" s="13">
        <f>IFERROR(__xludf.DUMMYFUNCTION("""COMPUTED_VALUE"""),45799.0)</f>
        <v>45799</v>
      </c>
      <c r="G1708" s="12"/>
      <c r="H1708" s="12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</row>
    <row r="1709">
      <c r="A1709" s="11" t="str">
        <f>IFERROR(__xludf.DUMMYFUNCTION("""COMPUTED_VALUE"""),"Tyler Technologies Inc  Com")</f>
        <v>Tyler Technologies Inc  Com</v>
      </c>
      <c r="B1709" s="12" t="str">
        <f>IFERROR(__xludf.DUMMYFUNCTION("""COMPUTED_VALUE"""),"TYL-US")</f>
        <v>TYL-US</v>
      </c>
      <c r="C1709" s="12"/>
      <c r="D1709" s="13">
        <f>IFERROR(__xludf.DUMMYFUNCTION("""COMPUTED_VALUE"""),45454.0)</f>
        <v>45454</v>
      </c>
      <c r="E1709" s="13">
        <f>IFERROR(__xludf.DUMMYFUNCTION("""COMPUTED_VALUE"""),45783.0)</f>
        <v>45783</v>
      </c>
      <c r="F1709" s="13">
        <f>IFERROR(__xludf.DUMMYFUNCTION("""COMPUTED_VALUE"""),45783.0)</f>
        <v>45783</v>
      </c>
      <c r="G1709" s="12"/>
      <c r="H1709" s="12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</row>
    <row r="1710">
      <c r="A1710" s="11" t="str">
        <f>IFERROR(__xludf.DUMMYFUNCTION("""COMPUTED_VALUE"""),"Ameren Corp  Com")</f>
        <v>Ameren Corp  Com</v>
      </c>
      <c r="B1710" s="12" t="str">
        <f>IFERROR(__xludf.DUMMYFUNCTION("""COMPUTED_VALUE"""),"AEE-US")</f>
        <v>AEE-US</v>
      </c>
      <c r="C1710" s="12"/>
      <c r="D1710" s="13">
        <f>IFERROR(__xludf.DUMMYFUNCTION("""COMPUTED_VALUE"""),45454.0)</f>
        <v>45454</v>
      </c>
      <c r="E1710" s="13">
        <f>IFERROR(__xludf.DUMMYFUNCTION("""COMPUTED_VALUE"""),45785.0)</f>
        <v>45785</v>
      </c>
      <c r="F1710" s="13">
        <f>IFERROR(__xludf.DUMMYFUNCTION("""COMPUTED_VALUE"""),45785.0)</f>
        <v>45785</v>
      </c>
      <c r="G1710" s="12"/>
      <c r="H1710" s="12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</row>
    <row r="1711">
      <c r="A1711" s="11" t="str">
        <f>IFERROR(__xludf.DUMMYFUNCTION("""COMPUTED_VALUE"""),"Teradyne Inc  Com")</f>
        <v>Teradyne Inc  Com</v>
      </c>
      <c r="B1711" s="12" t="str">
        <f>IFERROR(__xludf.DUMMYFUNCTION("""COMPUTED_VALUE"""),"TER-US")</f>
        <v>TER-US</v>
      </c>
      <c r="C1711" s="12"/>
      <c r="D1711" s="13">
        <f>IFERROR(__xludf.DUMMYFUNCTION("""COMPUTED_VALUE"""),45454.0)</f>
        <v>45454</v>
      </c>
      <c r="E1711" s="13">
        <f>IFERROR(__xludf.DUMMYFUNCTION("""COMPUTED_VALUE"""),45786.0)</f>
        <v>45786</v>
      </c>
      <c r="F1711" s="13">
        <f>IFERROR(__xludf.DUMMYFUNCTION("""COMPUTED_VALUE"""),45786.0)</f>
        <v>45786</v>
      </c>
      <c r="G1711" s="12"/>
      <c r="H1711" s="12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</row>
    <row r="1712">
      <c r="A1712" s="11" t="str">
        <f>IFERROR(__xludf.DUMMYFUNCTION("""COMPUTED_VALUE"""),"Zebra Technologies Corp  Cl A")</f>
        <v>Zebra Technologies Corp  Cl A</v>
      </c>
      <c r="B1712" s="12" t="str">
        <f>IFERROR(__xludf.DUMMYFUNCTION("""COMPUTED_VALUE"""),"ZBRA-US")</f>
        <v>ZBRA-US</v>
      </c>
      <c r="C1712" s="12"/>
      <c r="D1712" s="13">
        <f>IFERROR(__xludf.DUMMYFUNCTION("""COMPUTED_VALUE"""),45454.0)</f>
        <v>45454</v>
      </c>
      <c r="E1712" s="13">
        <f>IFERROR(__xludf.DUMMYFUNCTION("""COMPUTED_VALUE"""),45785.0)</f>
        <v>45785</v>
      </c>
      <c r="F1712" s="13">
        <f>IFERROR(__xludf.DUMMYFUNCTION("""COMPUTED_VALUE"""),45785.0)</f>
        <v>45785</v>
      </c>
      <c r="G1712" s="12"/>
      <c r="H1712" s="12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</row>
    <row r="1713">
      <c r="A1713" s="11" t="str">
        <f>IFERROR(__xludf.DUMMYFUNCTION("""COMPUTED_VALUE"""),"Las Vegas Sands Corp  Com")</f>
        <v>Las Vegas Sands Corp  Com</v>
      </c>
      <c r="B1713" s="12" t="str">
        <f>IFERROR(__xludf.DUMMYFUNCTION("""COMPUTED_VALUE"""),"LVS-US")</f>
        <v>LVS-US</v>
      </c>
      <c r="C1713" s="12"/>
      <c r="D1713" s="13">
        <f>IFERROR(__xludf.DUMMYFUNCTION("""COMPUTED_VALUE"""),45454.0)</f>
        <v>45454</v>
      </c>
      <c r="E1713" s="13">
        <f>IFERROR(__xludf.DUMMYFUNCTION("""COMPUTED_VALUE"""),45792.0)</f>
        <v>45792</v>
      </c>
      <c r="F1713" s="13">
        <f>IFERROR(__xludf.DUMMYFUNCTION("""COMPUTED_VALUE"""),45792.0)</f>
        <v>45792</v>
      </c>
      <c r="G1713" s="12"/>
      <c r="H1713" s="12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</row>
    <row r="1714">
      <c r="A1714" s="11" t="str">
        <f>IFERROR(__xludf.DUMMYFUNCTION("""COMPUTED_VALUE"""),"Steel Dynamics Inc  Com")</f>
        <v>Steel Dynamics Inc  Com</v>
      </c>
      <c r="B1714" s="12" t="str">
        <f>IFERROR(__xludf.DUMMYFUNCTION("""COMPUTED_VALUE"""),"STLD-US")</f>
        <v>STLD-US</v>
      </c>
      <c r="C1714" s="12"/>
      <c r="D1714" s="13">
        <f>IFERROR(__xludf.DUMMYFUNCTION("""COMPUTED_VALUE"""),45454.0)</f>
        <v>45454</v>
      </c>
      <c r="E1714" s="13">
        <f>IFERROR(__xludf.DUMMYFUNCTION("""COMPUTED_VALUE"""),45772.0)</f>
        <v>45772</v>
      </c>
      <c r="F1714" s="13">
        <f>IFERROR(__xludf.DUMMYFUNCTION("""COMPUTED_VALUE"""),45772.0)</f>
        <v>45772</v>
      </c>
      <c r="G1714" s="12"/>
      <c r="H1714" s="12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</row>
    <row r="1715">
      <c r="A1715" s="11" t="str">
        <f>IFERROR(__xludf.DUMMYFUNCTION("""COMPUTED_VALUE"""),"Keycorp  Com")</f>
        <v>Keycorp  Com</v>
      </c>
      <c r="B1715" s="12" t="str">
        <f>IFERROR(__xludf.DUMMYFUNCTION("""COMPUTED_VALUE"""),"KEY-US")</f>
        <v>KEY-US</v>
      </c>
      <c r="C1715" s="12"/>
      <c r="D1715" s="13">
        <f>IFERROR(__xludf.DUMMYFUNCTION("""COMPUTED_VALUE"""),45454.0)</f>
        <v>45454</v>
      </c>
      <c r="E1715" s="13">
        <f>IFERROR(__xludf.DUMMYFUNCTION("""COMPUTED_VALUE"""),45792.0)</f>
        <v>45792</v>
      </c>
      <c r="F1715" s="13">
        <f>IFERROR(__xludf.DUMMYFUNCTION("""COMPUTED_VALUE"""),45792.0)</f>
        <v>45792</v>
      </c>
      <c r="G1715" s="12"/>
      <c r="H1715" s="12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</row>
    <row r="1716">
      <c r="A1716" s="11" t="str">
        <f>IFERROR(__xludf.DUMMYFUNCTION("""COMPUTED_VALUE"""),"Avantor Inc  Com")</f>
        <v>Avantor Inc  Com</v>
      </c>
      <c r="B1716" s="12" t="str">
        <f>IFERROR(__xludf.DUMMYFUNCTION("""COMPUTED_VALUE"""),"AVTR-US")</f>
        <v>AVTR-US</v>
      </c>
      <c r="C1716" s="12"/>
      <c r="D1716" s="13">
        <f>IFERROR(__xludf.DUMMYFUNCTION("""COMPUTED_VALUE"""),45454.0)</f>
        <v>45454</v>
      </c>
      <c r="E1716" s="13">
        <f>IFERROR(__xludf.DUMMYFUNCTION("""COMPUTED_VALUE"""),45785.0)</f>
        <v>45785</v>
      </c>
      <c r="F1716" s="13">
        <f>IFERROR(__xludf.DUMMYFUNCTION("""COMPUTED_VALUE"""),45785.0)</f>
        <v>45785</v>
      </c>
      <c r="G1716" s="12"/>
      <c r="H1716" s="12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</row>
    <row r="1717">
      <c r="A1717" s="11" t="str">
        <f>IFERROR(__xludf.DUMMYFUNCTION("""COMPUTED_VALUE"""),"Ch Robinson Worldwide Inc  Com")</f>
        <v>Ch Robinson Worldwide Inc  Com</v>
      </c>
      <c r="B1717" s="12" t="str">
        <f>IFERROR(__xludf.DUMMYFUNCTION("""COMPUTED_VALUE"""),"CHRW-US")</f>
        <v>CHRW-US</v>
      </c>
      <c r="C1717" s="12"/>
      <c r="D1717" s="13">
        <f>IFERROR(__xludf.DUMMYFUNCTION("""COMPUTED_VALUE"""),45454.0)</f>
        <v>45454</v>
      </c>
      <c r="E1717" s="13">
        <f>IFERROR(__xludf.DUMMYFUNCTION("""COMPUTED_VALUE"""),45785.0)</f>
        <v>45785</v>
      </c>
      <c r="F1717" s="13">
        <f>IFERROR(__xludf.DUMMYFUNCTION("""COMPUTED_VALUE"""),45785.0)</f>
        <v>45785</v>
      </c>
      <c r="G1717" s="12"/>
      <c r="H1717" s="12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</row>
    <row r="1718">
      <c r="A1718" s="11" t="str">
        <f>IFERROR(__xludf.DUMMYFUNCTION("""COMPUTED_VALUE"""),"Mueller Industries Inc  Com")</f>
        <v>Mueller Industries Inc  Com</v>
      </c>
      <c r="B1718" s="12" t="str">
        <f>IFERROR(__xludf.DUMMYFUNCTION("""COMPUTED_VALUE"""),"MLI-US")</f>
        <v>MLI-US</v>
      </c>
      <c r="C1718" s="12"/>
      <c r="D1718" s="13">
        <f>IFERROR(__xludf.DUMMYFUNCTION("""COMPUTED_VALUE"""),45454.0)</f>
        <v>45454</v>
      </c>
      <c r="E1718" s="13">
        <f>IFERROR(__xludf.DUMMYFUNCTION("""COMPUTED_VALUE"""),45785.0)</f>
        <v>45785</v>
      </c>
      <c r="F1718" s="13">
        <f>IFERROR(__xludf.DUMMYFUNCTION("""COMPUTED_VALUE"""),45785.0)</f>
        <v>45785</v>
      </c>
      <c r="G1718" s="12"/>
      <c r="H1718" s="12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</row>
    <row r="1719">
      <c r="A1719" s="11" t="str">
        <f>IFERROR(__xludf.DUMMYFUNCTION("""COMPUTED_VALUE"""),"Murphy Usa Inc  Com")</f>
        <v>Murphy Usa Inc  Com</v>
      </c>
      <c r="B1719" s="12" t="str">
        <f>IFERROR(__xludf.DUMMYFUNCTION("""COMPUTED_VALUE"""),"MUSA-US")</f>
        <v>MUSA-US</v>
      </c>
      <c r="C1719" s="12"/>
      <c r="D1719" s="13">
        <f>IFERROR(__xludf.DUMMYFUNCTION("""COMPUTED_VALUE"""),45454.0)</f>
        <v>45454</v>
      </c>
      <c r="E1719" s="13">
        <f>IFERROR(__xludf.DUMMYFUNCTION("""COMPUTED_VALUE"""),45778.0)</f>
        <v>45778</v>
      </c>
      <c r="F1719" s="13">
        <f>IFERROR(__xludf.DUMMYFUNCTION("""COMPUTED_VALUE"""),45778.0)</f>
        <v>45778</v>
      </c>
      <c r="G1719" s="12"/>
      <c r="H1719" s="12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</row>
    <row r="1720">
      <c r="A1720" s="11" t="str">
        <f>IFERROR(__xludf.DUMMYFUNCTION("""COMPUTED_VALUE"""),"Alaska Air Group Inc  Com")</f>
        <v>Alaska Air Group Inc  Com</v>
      </c>
      <c r="B1720" s="12" t="str">
        <f>IFERROR(__xludf.DUMMYFUNCTION("""COMPUTED_VALUE"""),"ALK-US")</f>
        <v>ALK-US</v>
      </c>
      <c r="C1720" s="12"/>
      <c r="D1720" s="13">
        <f>IFERROR(__xludf.DUMMYFUNCTION("""COMPUTED_VALUE"""),45454.0)</f>
        <v>45454</v>
      </c>
      <c r="E1720" s="13">
        <f>IFERROR(__xludf.DUMMYFUNCTION("""COMPUTED_VALUE"""),45785.0)</f>
        <v>45785</v>
      </c>
      <c r="F1720" s="13">
        <f>IFERROR(__xludf.DUMMYFUNCTION("""COMPUTED_VALUE"""),45785.0)</f>
        <v>45785</v>
      </c>
      <c r="G1720" s="12"/>
      <c r="H1720" s="12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</row>
    <row r="1721">
      <c r="A1721" s="11" t="str">
        <f>IFERROR(__xludf.DUMMYFUNCTION("""COMPUTED_VALUE"""),"Wex Inc  Com")</f>
        <v>Wex Inc  Com</v>
      </c>
      <c r="B1721" s="12" t="str">
        <f>IFERROR(__xludf.DUMMYFUNCTION("""COMPUTED_VALUE"""),"WEX-US")</f>
        <v>WEX-US</v>
      </c>
      <c r="C1721" s="12"/>
      <c r="D1721" s="13">
        <f>IFERROR(__xludf.DUMMYFUNCTION("""COMPUTED_VALUE"""),45454.0)</f>
        <v>45454</v>
      </c>
      <c r="E1721" s="13">
        <f>IFERROR(__xludf.DUMMYFUNCTION("""COMPUTED_VALUE"""),45792.0)</f>
        <v>45792</v>
      </c>
      <c r="F1721" s="13">
        <f>IFERROR(__xludf.DUMMYFUNCTION("""COMPUTED_VALUE"""),45792.0)</f>
        <v>45792</v>
      </c>
      <c r="G1721" s="12"/>
      <c r="H1721" s="12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</row>
    <row r="1722">
      <c r="A1722" s="11" t="str">
        <f>IFERROR(__xludf.DUMMYFUNCTION("""COMPUTED_VALUE"""),"Popular Inc  Com")</f>
        <v>Popular Inc  Com</v>
      </c>
      <c r="B1722" s="12" t="str">
        <f>IFERROR(__xludf.DUMMYFUNCTION("""COMPUTED_VALUE"""),"BPOP-US")</f>
        <v>BPOP-US</v>
      </c>
      <c r="C1722" s="12"/>
      <c r="D1722" s="13">
        <f>IFERROR(__xludf.DUMMYFUNCTION("""COMPUTED_VALUE"""),45454.0)</f>
        <v>45454</v>
      </c>
      <c r="E1722" s="13">
        <f>IFERROR(__xludf.DUMMYFUNCTION("""COMPUTED_VALUE"""),45785.0)</f>
        <v>45785</v>
      </c>
      <c r="F1722" s="13">
        <f>IFERROR(__xludf.DUMMYFUNCTION("""COMPUTED_VALUE"""),45785.0)</f>
        <v>45785</v>
      </c>
      <c r="G1722" s="12"/>
      <c r="H1722" s="12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</row>
    <row r="1723">
      <c r="A1723" s="11" t="str">
        <f>IFERROR(__xludf.DUMMYFUNCTION("""COMPUTED_VALUE"""),"Esab Corp  Com")</f>
        <v>Esab Corp  Com</v>
      </c>
      <c r="B1723" s="12" t="str">
        <f>IFERROR(__xludf.DUMMYFUNCTION("""COMPUTED_VALUE"""),"ESAB-US")</f>
        <v>ESAB-US</v>
      </c>
      <c r="C1723" s="12"/>
      <c r="D1723" s="13">
        <f>IFERROR(__xludf.DUMMYFUNCTION("""COMPUTED_VALUE"""),45454.0)</f>
        <v>45454</v>
      </c>
      <c r="E1723" s="13">
        <f>IFERROR(__xludf.DUMMYFUNCTION("""COMPUTED_VALUE"""),45785.0)</f>
        <v>45785</v>
      </c>
      <c r="F1723" s="13">
        <f>IFERROR(__xludf.DUMMYFUNCTION("""COMPUTED_VALUE"""),45785.0)</f>
        <v>45785</v>
      </c>
      <c r="G1723" s="12"/>
      <c r="H1723" s="12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</row>
    <row r="1724">
      <c r="A1724" s="11" t="str">
        <f>IFERROR(__xludf.DUMMYFUNCTION("""COMPUTED_VALUE"""),"Ryman Hospitality Properties  Com")</f>
        <v>Ryman Hospitality Properties  Com</v>
      </c>
      <c r="B1724" s="12" t="str">
        <f>IFERROR(__xludf.DUMMYFUNCTION("""COMPUTED_VALUE"""),"RHP-US")</f>
        <v>RHP-US</v>
      </c>
      <c r="C1724" s="12"/>
      <c r="D1724" s="13">
        <f>IFERROR(__xludf.DUMMYFUNCTION("""COMPUTED_VALUE"""),45454.0)</f>
        <v>45454</v>
      </c>
      <c r="E1724" s="13">
        <f>IFERROR(__xludf.DUMMYFUNCTION("""COMPUTED_VALUE"""),45785.0)</f>
        <v>45785</v>
      </c>
      <c r="F1724" s="13">
        <f>IFERROR(__xludf.DUMMYFUNCTION("""COMPUTED_VALUE"""),45785.0)</f>
        <v>45785</v>
      </c>
      <c r="G1724" s="12"/>
      <c r="H1724" s="12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</row>
    <row r="1725">
      <c r="A1725" s="11" t="str">
        <f>IFERROR(__xludf.DUMMYFUNCTION("""COMPUTED_VALUE"""),"Sterling Infrastructure Inc  Com")</f>
        <v>Sterling Infrastructure Inc  Com</v>
      </c>
      <c r="B1725" s="12" t="str">
        <f>IFERROR(__xludf.DUMMYFUNCTION("""COMPUTED_VALUE"""),"STRL-US")</f>
        <v>STRL-US</v>
      </c>
      <c r="C1725" s="12"/>
      <c r="D1725" s="13">
        <f>IFERROR(__xludf.DUMMYFUNCTION("""COMPUTED_VALUE"""),45454.0)</f>
        <v>45454</v>
      </c>
      <c r="E1725" s="13">
        <f>IFERROR(__xludf.DUMMYFUNCTION("""COMPUTED_VALUE"""),45785.0)</f>
        <v>45785</v>
      </c>
      <c r="F1725" s="13">
        <f>IFERROR(__xludf.DUMMYFUNCTION("""COMPUTED_VALUE"""),45785.0)</f>
        <v>45785</v>
      </c>
      <c r="G1725" s="12"/>
      <c r="H1725" s="12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</row>
    <row r="1726">
      <c r="A1726" s="11" t="str">
        <f>IFERROR(__xludf.DUMMYFUNCTION("""COMPUTED_VALUE"""),"Lazard Inc  Cl A")</f>
        <v>Lazard Inc  Cl A</v>
      </c>
      <c r="B1726" s="12" t="str">
        <f>IFERROR(__xludf.DUMMYFUNCTION("""COMPUTED_VALUE"""),"LAZ-US")</f>
        <v>LAZ-US</v>
      </c>
      <c r="C1726" s="12"/>
      <c r="D1726" s="13">
        <f>IFERROR(__xludf.DUMMYFUNCTION("""COMPUTED_VALUE"""),45454.0)</f>
        <v>45454</v>
      </c>
      <c r="E1726" s="13">
        <f>IFERROR(__xludf.DUMMYFUNCTION("""COMPUTED_VALUE"""),45785.0)</f>
        <v>45785</v>
      </c>
      <c r="F1726" s="13">
        <f>IFERROR(__xludf.DUMMYFUNCTION("""COMPUTED_VALUE"""),45785.0)</f>
        <v>45785</v>
      </c>
      <c r="G1726" s="12"/>
      <c r="H1726" s="12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</row>
    <row r="1727">
      <c r="A1727" s="11" t="str">
        <f>IFERROR(__xludf.DUMMYFUNCTION("""COMPUTED_VALUE"""),"Boyd Gaming Corp  Com")</f>
        <v>Boyd Gaming Corp  Com</v>
      </c>
      <c r="B1727" s="12" t="str">
        <f>IFERROR(__xludf.DUMMYFUNCTION("""COMPUTED_VALUE"""),"BYD-US")</f>
        <v>BYD-US</v>
      </c>
      <c r="C1727" s="12"/>
      <c r="D1727" s="13">
        <f>IFERROR(__xludf.DUMMYFUNCTION("""COMPUTED_VALUE"""),45454.0)</f>
        <v>45454</v>
      </c>
      <c r="E1727" s="13">
        <f>IFERROR(__xludf.DUMMYFUNCTION("""COMPUTED_VALUE"""),45785.0)</f>
        <v>45785</v>
      </c>
      <c r="F1727" s="13">
        <f>IFERROR(__xludf.DUMMYFUNCTION("""COMPUTED_VALUE"""),45785.0)</f>
        <v>45785</v>
      </c>
      <c r="G1727" s="12"/>
      <c r="H1727" s="12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</row>
    <row r="1728">
      <c r="A1728" s="11" t="str">
        <f>IFERROR(__xludf.DUMMYFUNCTION("""COMPUTED_VALUE"""),"Newell Brands Inc  Com")</f>
        <v>Newell Brands Inc  Com</v>
      </c>
      <c r="B1728" s="12" t="str">
        <f>IFERROR(__xludf.DUMMYFUNCTION("""COMPUTED_VALUE"""),"NWL-US")</f>
        <v>NWL-US</v>
      </c>
      <c r="C1728" s="12"/>
      <c r="D1728" s="13">
        <f>IFERROR(__xludf.DUMMYFUNCTION("""COMPUTED_VALUE"""),45454.0)</f>
        <v>45454</v>
      </c>
      <c r="E1728" s="13">
        <f>IFERROR(__xludf.DUMMYFUNCTION("""COMPUTED_VALUE"""),45785.0)</f>
        <v>45785</v>
      </c>
      <c r="F1728" s="13">
        <f>IFERROR(__xludf.DUMMYFUNCTION("""COMPUTED_VALUE"""),45785.0)</f>
        <v>45785</v>
      </c>
      <c r="G1728" s="12"/>
      <c r="H1728" s="12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</row>
    <row r="1729">
      <c r="A1729" s="11" t="str">
        <f>IFERROR(__xludf.DUMMYFUNCTION("""COMPUTED_VALUE"""),"Cbiz Inc  Com")</f>
        <v>Cbiz Inc  Com</v>
      </c>
      <c r="B1729" s="12" t="str">
        <f>IFERROR(__xludf.DUMMYFUNCTION("""COMPUTED_VALUE"""),"CBZ-US")</f>
        <v>CBZ-US</v>
      </c>
      <c r="C1729" s="12"/>
      <c r="D1729" s="13">
        <f>IFERROR(__xludf.DUMMYFUNCTION("""COMPUTED_VALUE"""),45454.0)</f>
        <v>45454</v>
      </c>
      <c r="E1729" s="13">
        <f>IFERROR(__xludf.DUMMYFUNCTION("""COMPUTED_VALUE"""),45792.0)</f>
        <v>45792</v>
      </c>
      <c r="F1729" s="13">
        <f>IFERROR(__xludf.DUMMYFUNCTION("""COMPUTED_VALUE"""),45792.0)</f>
        <v>45792</v>
      </c>
      <c r="G1729" s="12"/>
      <c r="H1729" s="12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</row>
    <row r="1730">
      <c r="A1730" s="11" t="str">
        <f>IFERROR(__xludf.DUMMYFUNCTION("""COMPUTED_VALUE"""),"Westlake Corp  Com")</f>
        <v>Westlake Corp  Com</v>
      </c>
      <c r="B1730" s="12" t="str">
        <f>IFERROR(__xludf.DUMMYFUNCTION("""COMPUTED_VALUE"""),"WLK-US")</f>
        <v>WLK-US</v>
      </c>
      <c r="C1730" s="12"/>
      <c r="D1730" s="13">
        <f>IFERROR(__xludf.DUMMYFUNCTION("""COMPUTED_VALUE"""),45454.0)</f>
        <v>45454</v>
      </c>
      <c r="E1730" s="13">
        <f>IFERROR(__xludf.DUMMYFUNCTION("""COMPUTED_VALUE"""),45785.0)</f>
        <v>45785</v>
      </c>
      <c r="F1730" s="13">
        <f>IFERROR(__xludf.DUMMYFUNCTION("""COMPUTED_VALUE"""),45785.0)</f>
        <v>45785</v>
      </c>
      <c r="G1730" s="12"/>
      <c r="H1730" s="12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</row>
    <row r="1731">
      <c r="A1731" s="11" t="str">
        <f>IFERROR(__xludf.DUMMYFUNCTION("""COMPUTED_VALUE"""),"Cno Financial Group Inc  Com")</f>
        <v>Cno Financial Group Inc  Com</v>
      </c>
      <c r="B1731" s="12" t="str">
        <f>IFERROR(__xludf.DUMMYFUNCTION("""COMPUTED_VALUE"""),"CNO-US")</f>
        <v>CNO-US</v>
      </c>
      <c r="C1731" s="12"/>
      <c r="D1731" s="13">
        <f>IFERROR(__xludf.DUMMYFUNCTION("""COMPUTED_VALUE"""),45454.0)</f>
        <v>45454</v>
      </c>
      <c r="E1731" s="13">
        <f>IFERROR(__xludf.DUMMYFUNCTION("""COMPUTED_VALUE"""),45785.0)</f>
        <v>45785</v>
      </c>
      <c r="F1731" s="13">
        <f>IFERROR(__xludf.DUMMYFUNCTION("""COMPUTED_VALUE"""),45785.0)</f>
        <v>45785</v>
      </c>
      <c r="G1731" s="12"/>
      <c r="H1731" s="12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</row>
    <row r="1732">
      <c r="A1732" s="11" t="str">
        <f>IFERROR(__xludf.DUMMYFUNCTION("""COMPUTED_VALUE"""),"Copt Defense Properties  Com")</f>
        <v>Copt Defense Properties  Com</v>
      </c>
      <c r="B1732" s="12" t="str">
        <f>IFERROR(__xludf.DUMMYFUNCTION("""COMPUTED_VALUE"""),"CDP-US")</f>
        <v>CDP-US</v>
      </c>
      <c r="C1732" s="12"/>
      <c r="D1732" s="13">
        <f>IFERROR(__xludf.DUMMYFUNCTION("""COMPUTED_VALUE"""),45454.0)</f>
        <v>45454</v>
      </c>
      <c r="E1732" s="13">
        <f>IFERROR(__xludf.DUMMYFUNCTION("""COMPUTED_VALUE"""),45797.0)</f>
        <v>45797</v>
      </c>
      <c r="F1732" s="13">
        <f>IFERROR(__xludf.DUMMYFUNCTION("""COMPUTED_VALUE"""),45797.0)</f>
        <v>45797</v>
      </c>
      <c r="G1732" s="12"/>
      <c r="H1732" s="12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</row>
    <row r="1733">
      <c r="A1733" s="11" t="str">
        <f>IFERROR(__xludf.DUMMYFUNCTION("""COMPUTED_VALUE"""),"Blackline Inc  Com")</f>
        <v>Blackline Inc  Com</v>
      </c>
      <c r="B1733" s="12" t="str">
        <f>IFERROR(__xludf.DUMMYFUNCTION("""COMPUTED_VALUE"""),"BL-US")</f>
        <v>BL-US</v>
      </c>
      <c r="C1733" s="12"/>
      <c r="D1733" s="13">
        <f>IFERROR(__xludf.DUMMYFUNCTION("""COMPUTED_VALUE"""),45454.0)</f>
        <v>45454</v>
      </c>
      <c r="E1733" s="13">
        <f>IFERROR(__xludf.DUMMYFUNCTION("""COMPUTED_VALUE"""),45785.0)</f>
        <v>45785</v>
      </c>
      <c r="F1733" s="13">
        <f>IFERROR(__xludf.DUMMYFUNCTION("""COMPUTED_VALUE"""),45785.0)</f>
        <v>45785</v>
      </c>
      <c r="G1733" s="12"/>
      <c r="H1733" s="12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</row>
    <row r="1734">
      <c r="A1734" s="11" t="str">
        <f>IFERROR(__xludf.DUMMYFUNCTION("""COMPUTED_VALUE"""),"Penske Automotive Group Inc  Com")</f>
        <v>Penske Automotive Group Inc  Com</v>
      </c>
      <c r="B1734" s="12" t="str">
        <f>IFERROR(__xludf.DUMMYFUNCTION("""COMPUTED_VALUE"""),"PAG-US")</f>
        <v>PAG-US</v>
      </c>
      <c r="C1734" s="12"/>
      <c r="D1734" s="13">
        <f>IFERROR(__xludf.DUMMYFUNCTION("""COMPUTED_VALUE"""),45454.0)</f>
        <v>45454</v>
      </c>
      <c r="E1734" s="13">
        <f>IFERROR(__xludf.DUMMYFUNCTION("""COMPUTED_VALUE"""),45791.0)</f>
        <v>45791</v>
      </c>
      <c r="F1734" s="13">
        <f>IFERROR(__xludf.DUMMYFUNCTION("""COMPUTED_VALUE"""),45791.0)</f>
        <v>45791</v>
      </c>
      <c r="G1734" s="12"/>
      <c r="H1734" s="12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</row>
    <row r="1735">
      <c r="A1735" s="11" t="str">
        <f>IFERROR(__xludf.DUMMYFUNCTION("""COMPUTED_VALUE"""),"Nmi Holdings Inc  Cl A")</f>
        <v>Nmi Holdings Inc  Cl A</v>
      </c>
      <c r="B1735" s="12" t="str">
        <f>IFERROR(__xludf.DUMMYFUNCTION("""COMPUTED_VALUE"""),"NMIH-US")</f>
        <v>NMIH-US</v>
      </c>
      <c r="C1735" s="12"/>
      <c r="D1735" s="13">
        <f>IFERROR(__xludf.DUMMYFUNCTION("""COMPUTED_VALUE"""),45454.0)</f>
        <v>45454</v>
      </c>
      <c r="E1735" s="13">
        <f>IFERROR(__xludf.DUMMYFUNCTION("""COMPUTED_VALUE"""),45785.0)</f>
        <v>45785</v>
      </c>
      <c r="F1735" s="13">
        <f>IFERROR(__xludf.DUMMYFUNCTION("""COMPUTED_VALUE"""),45785.0)</f>
        <v>45785</v>
      </c>
      <c r="G1735" s="12"/>
      <c r="H1735" s="12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</row>
    <row r="1736">
      <c r="A1736" s="11" t="str">
        <f>IFERROR(__xludf.DUMMYFUNCTION("""COMPUTED_VALUE"""),"Progress Software Corp  Com")</f>
        <v>Progress Software Corp  Com</v>
      </c>
      <c r="B1736" s="12" t="str">
        <f>IFERROR(__xludf.DUMMYFUNCTION("""COMPUTED_VALUE"""),"PRGS-US")</f>
        <v>PRGS-US</v>
      </c>
      <c r="C1736" s="12"/>
      <c r="D1736" s="13">
        <f>IFERROR(__xludf.DUMMYFUNCTION("""COMPUTED_VALUE"""),45455.0)</f>
        <v>45455</v>
      </c>
      <c r="E1736" s="13">
        <f>IFERROR(__xludf.DUMMYFUNCTION("""COMPUTED_VALUE"""),45785.0)</f>
        <v>45785</v>
      </c>
      <c r="F1736" s="13">
        <f>IFERROR(__xludf.DUMMYFUNCTION("""COMPUTED_VALUE"""),45785.0)</f>
        <v>45785</v>
      </c>
      <c r="G1736" s="12"/>
      <c r="H1736" s="12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</row>
    <row r="1737">
      <c r="A1737" s="11" t="str">
        <f>IFERROR(__xludf.DUMMYFUNCTION("""COMPUTED_VALUE"""),"Axcelis Technologies Inc  Com")</f>
        <v>Axcelis Technologies Inc  Com</v>
      </c>
      <c r="B1737" s="12" t="str">
        <f>IFERROR(__xludf.DUMMYFUNCTION("""COMPUTED_VALUE"""),"ACLS-US")</f>
        <v>ACLS-US</v>
      </c>
      <c r="C1737" s="12"/>
      <c r="D1737" s="13">
        <f>IFERROR(__xludf.DUMMYFUNCTION("""COMPUTED_VALUE"""),45455.0)</f>
        <v>45455</v>
      </c>
      <c r="E1737" s="13">
        <f>IFERROR(__xludf.DUMMYFUNCTION("""COMPUTED_VALUE"""),45784.0)</f>
        <v>45784</v>
      </c>
      <c r="F1737" s="13">
        <f>IFERROR(__xludf.DUMMYFUNCTION("""COMPUTED_VALUE"""),45784.0)</f>
        <v>45784</v>
      </c>
      <c r="G1737" s="12"/>
      <c r="H1737" s="12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</row>
    <row r="1738">
      <c r="A1738" s="11" t="str">
        <f>IFERROR(__xludf.DUMMYFUNCTION("""COMPUTED_VALUE"""),"Peabody Energy Corp  Com")</f>
        <v>Peabody Energy Corp  Com</v>
      </c>
      <c r="B1738" s="12" t="str">
        <f>IFERROR(__xludf.DUMMYFUNCTION("""COMPUTED_VALUE"""),"BTU-US")</f>
        <v>BTU-US</v>
      </c>
      <c r="C1738" s="12"/>
      <c r="D1738" s="13">
        <f>IFERROR(__xludf.DUMMYFUNCTION("""COMPUTED_VALUE"""),45455.0)</f>
        <v>45455</v>
      </c>
      <c r="E1738" s="13">
        <f>IFERROR(__xludf.DUMMYFUNCTION("""COMPUTED_VALUE"""),45785.0)</f>
        <v>45785</v>
      </c>
      <c r="F1738" s="13">
        <f>IFERROR(__xludf.DUMMYFUNCTION("""COMPUTED_VALUE"""),45785.0)</f>
        <v>45785</v>
      </c>
      <c r="G1738" s="12"/>
      <c r="H1738" s="12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</row>
    <row r="1739">
      <c r="A1739" s="11" t="str">
        <f>IFERROR(__xludf.DUMMYFUNCTION("""COMPUTED_VALUE"""),"Phinia Inc  Com")</f>
        <v>Phinia Inc  Com</v>
      </c>
      <c r="B1739" s="12" t="str">
        <f>IFERROR(__xludf.DUMMYFUNCTION("""COMPUTED_VALUE"""),"PHIN-US")</f>
        <v>PHIN-US</v>
      </c>
      <c r="C1739" s="12"/>
      <c r="D1739" s="13">
        <f>IFERROR(__xludf.DUMMYFUNCTION("""COMPUTED_VALUE"""),45455.0)</f>
        <v>45455</v>
      </c>
      <c r="E1739" s="13">
        <f>IFERROR(__xludf.DUMMYFUNCTION("""COMPUTED_VALUE"""),45798.0)</f>
        <v>45798</v>
      </c>
      <c r="F1739" s="13">
        <f>IFERROR(__xludf.DUMMYFUNCTION("""COMPUTED_VALUE"""),45798.0)</f>
        <v>45798</v>
      </c>
      <c r="G1739" s="12"/>
      <c r="H1739" s="12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</row>
    <row r="1740">
      <c r="A1740" s="11" t="str">
        <f>IFERROR(__xludf.DUMMYFUNCTION("""COMPUTED_VALUE"""),"Geron Corp  Com")</f>
        <v>Geron Corp  Com</v>
      </c>
      <c r="B1740" s="12" t="str">
        <f>IFERROR(__xludf.DUMMYFUNCTION("""COMPUTED_VALUE"""),"GERN-US")</f>
        <v>GERN-US</v>
      </c>
      <c r="C1740" s="12"/>
      <c r="D1740" s="13">
        <f>IFERROR(__xludf.DUMMYFUNCTION("""COMPUTED_VALUE"""),45455.0)</f>
        <v>45455</v>
      </c>
      <c r="E1740" s="13">
        <f>IFERROR(__xludf.DUMMYFUNCTION("""COMPUTED_VALUE"""),45798.0)</f>
        <v>45798</v>
      </c>
      <c r="F1740" s="13">
        <f>IFERROR(__xludf.DUMMYFUNCTION("""COMPUTED_VALUE"""),45798.0)</f>
        <v>45798</v>
      </c>
      <c r="G1740" s="12"/>
      <c r="H1740" s="12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</row>
    <row r="1741">
      <c r="A1741" s="11" t="str">
        <f>IFERROR(__xludf.DUMMYFUNCTION("""COMPUTED_VALUE"""),"Banc Of California Inc  Com")</f>
        <v>Banc Of California Inc  Com</v>
      </c>
      <c r="B1741" s="12" t="str">
        <f>IFERROR(__xludf.DUMMYFUNCTION("""COMPUTED_VALUE"""),"BANC-US")</f>
        <v>BANC-US</v>
      </c>
      <c r="C1741" s="12"/>
      <c r="D1741" s="13">
        <f>IFERROR(__xludf.DUMMYFUNCTION("""COMPUTED_VALUE"""),45455.0)</f>
        <v>45455</v>
      </c>
      <c r="E1741" s="13">
        <f>IFERROR(__xludf.DUMMYFUNCTION("""COMPUTED_VALUE"""),45784.0)</f>
        <v>45784</v>
      </c>
      <c r="F1741" s="13">
        <f>IFERROR(__xludf.DUMMYFUNCTION("""COMPUTED_VALUE"""),45784.0)</f>
        <v>45784</v>
      </c>
      <c r="G1741" s="12"/>
      <c r="H1741" s="12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</row>
    <row r="1742">
      <c r="A1742" s="11" t="str">
        <f>IFERROR(__xludf.DUMMYFUNCTION("""COMPUTED_VALUE"""),"Calix Inc  Com")</f>
        <v>Calix Inc  Com</v>
      </c>
      <c r="B1742" s="12" t="str">
        <f>IFERROR(__xludf.DUMMYFUNCTION("""COMPUTED_VALUE"""),"CALX-US")</f>
        <v>CALX-US</v>
      </c>
      <c r="C1742" s="12"/>
      <c r="D1742" s="13">
        <f>IFERROR(__xludf.DUMMYFUNCTION("""COMPUTED_VALUE"""),45455.0)</f>
        <v>45455</v>
      </c>
      <c r="E1742" s="13">
        <f>IFERROR(__xludf.DUMMYFUNCTION("""COMPUTED_VALUE"""),45785.0)</f>
        <v>45785</v>
      </c>
      <c r="F1742" s="13">
        <f>IFERROR(__xludf.DUMMYFUNCTION("""COMPUTED_VALUE"""),45785.0)</f>
        <v>45785</v>
      </c>
      <c r="G1742" s="12"/>
      <c r="H1742" s="12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</row>
    <row r="1743">
      <c r="A1743" s="11" t="str">
        <f>IFERROR(__xludf.DUMMYFUNCTION("""COMPUTED_VALUE"""),"Materion Corp  Com")</f>
        <v>Materion Corp  Com</v>
      </c>
      <c r="B1743" s="12" t="str">
        <f>IFERROR(__xludf.DUMMYFUNCTION("""COMPUTED_VALUE"""),"MTRN-US")</f>
        <v>MTRN-US</v>
      </c>
      <c r="C1743" s="12"/>
      <c r="D1743" s="13">
        <f>IFERROR(__xludf.DUMMYFUNCTION("""COMPUTED_VALUE"""),45455.0)</f>
        <v>45455</v>
      </c>
      <c r="E1743" s="13">
        <f>IFERROR(__xludf.DUMMYFUNCTION("""COMPUTED_VALUE"""),45784.0)</f>
        <v>45784</v>
      </c>
      <c r="F1743" s="13">
        <f>IFERROR(__xludf.DUMMYFUNCTION("""COMPUTED_VALUE"""),45784.0)</f>
        <v>45784</v>
      </c>
      <c r="G1743" s="12"/>
      <c r="H1743" s="12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</row>
    <row r="1744">
      <c r="A1744" s="11" t="str">
        <f>IFERROR(__xludf.DUMMYFUNCTION("""COMPUTED_VALUE"""),"Veeco Instruments Inc  Com")</f>
        <v>Veeco Instruments Inc  Com</v>
      </c>
      <c r="B1744" s="12" t="str">
        <f>IFERROR(__xludf.DUMMYFUNCTION("""COMPUTED_VALUE"""),"VECO-US")</f>
        <v>VECO-US</v>
      </c>
      <c r="C1744" s="12"/>
      <c r="D1744" s="13">
        <f>IFERROR(__xludf.DUMMYFUNCTION("""COMPUTED_VALUE"""),45455.0)</f>
        <v>45455</v>
      </c>
      <c r="E1744" s="13">
        <f>IFERROR(__xludf.DUMMYFUNCTION("""COMPUTED_VALUE"""),45785.0)</f>
        <v>45785</v>
      </c>
      <c r="F1744" s="13">
        <f>IFERROR(__xludf.DUMMYFUNCTION("""COMPUTED_VALUE"""),45785.0)</f>
        <v>45785</v>
      </c>
      <c r="G1744" s="12"/>
      <c r="H1744" s="12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</row>
    <row r="1745">
      <c r="A1745" s="11" t="str">
        <f>IFERROR(__xludf.DUMMYFUNCTION("""COMPUTED_VALUE"""),"Cts Corp  Com")</f>
        <v>Cts Corp  Com</v>
      </c>
      <c r="B1745" s="12" t="str">
        <f>IFERROR(__xludf.DUMMYFUNCTION("""COMPUTED_VALUE"""),"CTS-US")</f>
        <v>CTS-US</v>
      </c>
      <c r="C1745" s="12"/>
      <c r="D1745" s="13">
        <f>IFERROR(__xludf.DUMMYFUNCTION("""COMPUTED_VALUE"""),45455.0)</f>
        <v>45455</v>
      </c>
      <c r="E1745" s="13">
        <f>IFERROR(__xludf.DUMMYFUNCTION("""COMPUTED_VALUE"""),45785.0)</f>
        <v>45785</v>
      </c>
      <c r="F1745" s="13">
        <f>IFERROR(__xludf.DUMMYFUNCTION("""COMPUTED_VALUE"""),45785.0)</f>
        <v>45785</v>
      </c>
      <c r="G1745" s="12"/>
      <c r="H1745" s="12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</row>
    <row r="1746">
      <c r="A1746" s="11" t="str">
        <f>IFERROR(__xludf.DUMMYFUNCTION("""COMPUTED_VALUE"""),"Integra Lifesciences Holdings  Com")</f>
        <v>Integra Lifesciences Holdings  Com</v>
      </c>
      <c r="B1746" s="12" t="str">
        <f>IFERROR(__xludf.DUMMYFUNCTION("""COMPUTED_VALUE"""),"IART-US")</f>
        <v>IART-US</v>
      </c>
      <c r="C1746" s="12"/>
      <c r="D1746" s="13">
        <f>IFERROR(__xludf.DUMMYFUNCTION("""COMPUTED_VALUE"""),45455.0)</f>
        <v>45455</v>
      </c>
      <c r="E1746" s="13">
        <f>IFERROR(__xludf.DUMMYFUNCTION("""COMPUTED_VALUE"""),45786.0)</f>
        <v>45786</v>
      </c>
      <c r="F1746" s="13">
        <f>IFERROR(__xludf.DUMMYFUNCTION("""COMPUTED_VALUE"""),45786.0)</f>
        <v>45786</v>
      </c>
      <c r="G1746" s="12"/>
      <c r="H1746" s="12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</row>
    <row r="1747">
      <c r="A1747" s="11" t="str">
        <f>IFERROR(__xludf.DUMMYFUNCTION("""COMPUTED_VALUE"""),"Andersons Inc  Com")</f>
        <v>Andersons Inc  Com</v>
      </c>
      <c r="B1747" s="12" t="str">
        <f>IFERROR(__xludf.DUMMYFUNCTION("""COMPUTED_VALUE"""),"ANDE-US")</f>
        <v>ANDE-US</v>
      </c>
      <c r="C1747" s="12"/>
      <c r="D1747" s="13">
        <f>IFERROR(__xludf.DUMMYFUNCTION("""COMPUTED_VALUE"""),45455.0)</f>
        <v>45455</v>
      </c>
      <c r="E1747" s="13">
        <f>IFERROR(__xludf.DUMMYFUNCTION("""COMPUTED_VALUE"""),45785.0)</f>
        <v>45785</v>
      </c>
      <c r="F1747" s="13">
        <f>IFERROR(__xludf.DUMMYFUNCTION("""COMPUTED_VALUE"""),45785.0)</f>
        <v>45785</v>
      </c>
      <c r="G1747" s="12"/>
      <c r="H1747" s="12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</row>
    <row r="1748">
      <c r="A1748" s="11" t="str">
        <f>IFERROR(__xludf.DUMMYFUNCTION("""COMPUTED_VALUE"""),"Atlas Energy Solutions Inc  Cl A")</f>
        <v>Atlas Energy Solutions Inc  Cl A</v>
      </c>
      <c r="B1748" s="12" t="str">
        <f>IFERROR(__xludf.DUMMYFUNCTION("""COMPUTED_VALUE"""),"AESI-US")</f>
        <v>AESI-US</v>
      </c>
      <c r="C1748" s="12"/>
      <c r="D1748" s="13">
        <f>IFERROR(__xludf.DUMMYFUNCTION("""COMPUTED_VALUE"""),45455.0)</f>
        <v>45455</v>
      </c>
      <c r="E1748" s="13">
        <f>IFERROR(__xludf.DUMMYFUNCTION("""COMPUTED_VALUE"""),45785.0)</f>
        <v>45785</v>
      </c>
      <c r="F1748" s="13">
        <f>IFERROR(__xludf.DUMMYFUNCTION("""COMPUTED_VALUE"""),45785.0)</f>
        <v>45785</v>
      </c>
      <c r="G1748" s="12"/>
      <c r="H1748" s="12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</row>
    <row r="1749">
      <c r="A1749" s="11" t="str">
        <f>IFERROR(__xludf.DUMMYFUNCTION("""COMPUTED_VALUE"""),"Adeia Inc  Com Wi")</f>
        <v>Adeia Inc  Com Wi</v>
      </c>
      <c r="B1749" s="12" t="str">
        <f>IFERROR(__xludf.DUMMYFUNCTION("""COMPUTED_VALUE"""),"ADEA-US")</f>
        <v>ADEA-US</v>
      </c>
      <c r="C1749" s="12"/>
      <c r="D1749" s="13">
        <f>IFERROR(__xludf.DUMMYFUNCTION("""COMPUTED_VALUE"""),45455.0)</f>
        <v>45455</v>
      </c>
      <c r="E1749" s="13">
        <f>IFERROR(__xludf.DUMMYFUNCTION("""COMPUTED_VALUE"""),45785.0)</f>
        <v>45785</v>
      </c>
      <c r="F1749" s="13">
        <f>IFERROR(__xludf.DUMMYFUNCTION("""COMPUTED_VALUE"""),45785.0)</f>
        <v>45785</v>
      </c>
      <c r="G1749" s="12"/>
      <c r="H1749" s="12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</row>
    <row r="1750">
      <c r="A1750" s="11" t="str">
        <f>IFERROR(__xludf.DUMMYFUNCTION("""COMPUTED_VALUE"""),"Empire State Realty Trust Inc  Cl A")</f>
        <v>Empire State Realty Trust Inc  Cl A</v>
      </c>
      <c r="B1750" s="12" t="str">
        <f>IFERROR(__xludf.DUMMYFUNCTION("""COMPUTED_VALUE"""),"ESRT-US")</f>
        <v>ESRT-US</v>
      </c>
      <c r="C1750" s="12"/>
      <c r="D1750" s="13">
        <f>IFERROR(__xludf.DUMMYFUNCTION("""COMPUTED_VALUE"""),45455.0)</f>
        <v>45455</v>
      </c>
      <c r="E1750" s="13">
        <f>IFERROR(__xludf.DUMMYFUNCTION("""COMPUTED_VALUE"""),45792.0)</f>
        <v>45792</v>
      </c>
      <c r="F1750" s="13">
        <f>IFERROR(__xludf.DUMMYFUNCTION("""COMPUTED_VALUE"""),45792.0)</f>
        <v>45792</v>
      </c>
      <c r="G1750" s="12"/>
      <c r="H1750" s="12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</row>
    <row r="1751">
      <c r="A1751" s="11" t="str">
        <f>IFERROR(__xludf.DUMMYFUNCTION("""COMPUTED_VALUE"""),"Skyward Specialty Insurance Grp  Com")</f>
        <v>Skyward Specialty Insurance Grp  Com</v>
      </c>
      <c r="B1751" s="12" t="str">
        <f>IFERROR(__xludf.DUMMYFUNCTION("""COMPUTED_VALUE"""),"SKWD-US")</f>
        <v>SKWD-US</v>
      </c>
      <c r="C1751" s="12"/>
      <c r="D1751" s="13">
        <f>IFERROR(__xludf.DUMMYFUNCTION("""COMPUTED_VALUE"""),45455.0)</f>
        <v>45455</v>
      </c>
      <c r="E1751" s="13">
        <f>IFERROR(__xludf.DUMMYFUNCTION("""COMPUTED_VALUE"""),45784.0)</f>
        <v>45784</v>
      </c>
      <c r="F1751" s="13">
        <f>IFERROR(__xludf.DUMMYFUNCTION("""COMPUTED_VALUE"""),45784.0)</f>
        <v>45784</v>
      </c>
      <c r="G1751" s="12"/>
      <c r="H1751" s="12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</row>
    <row r="1752">
      <c r="A1752" s="11" t="str">
        <f>IFERROR(__xludf.DUMMYFUNCTION("""COMPUTED_VALUE"""),"National Healthcare Corp  Com")</f>
        <v>National Healthcare Corp  Com</v>
      </c>
      <c r="B1752" s="12" t="str">
        <f>IFERROR(__xludf.DUMMYFUNCTION("""COMPUTED_VALUE"""),"NHC-US")</f>
        <v>NHC-US</v>
      </c>
      <c r="C1752" s="12"/>
      <c r="D1752" s="13">
        <f>IFERROR(__xludf.DUMMYFUNCTION("""COMPUTED_VALUE"""),45455.0)</f>
        <v>45455</v>
      </c>
      <c r="E1752" s="13">
        <f>IFERROR(__xludf.DUMMYFUNCTION("""COMPUTED_VALUE"""),45785.0)</f>
        <v>45785</v>
      </c>
      <c r="F1752" s="13">
        <f>IFERROR(__xludf.DUMMYFUNCTION("""COMPUTED_VALUE"""),45785.0)</f>
        <v>45785</v>
      </c>
      <c r="G1752" s="12"/>
      <c r="H1752" s="12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</row>
    <row r="1753">
      <c r="A1753" s="11" t="str">
        <f>IFERROR(__xludf.DUMMYFUNCTION("""COMPUTED_VALUE"""),"Travere Therapeutics Inc  Com")</f>
        <v>Travere Therapeutics Inc  Com</v>
      </c>
      <c r="B1753" s="12" t="str">
        <f>IFERROR(__xludf.DUMMYFUNCTION("""COMPUTED_VALUE"""),"TVTX-US")</f>
        <v>TVTX-US</v>
      </c>
      <c r="C1753" s="12"/>
      <c r="D1753" s="13">
        <f>IFERROR(__xludf.DUMMYFUNCTION("""COMPUTED_VALUE"""),45455.0)</f>
        <v>45455</v>
      </c>
      <c r="E1753" s="13">
        <f>IFERROR(__xludf.DUMMYFUNCTION("""COMPUTED_VALUE"""),45792.0)</f>
        <v>45792</v>
      </c>
      <c r="F1753" s="13">
        <f>IFERROR(__xludf.DUMMYFUNCTION("""COMPUTED_VALUE"""),45792.0)</f>
        <v>45792</v>
      </c>
      <c r="G1753" s="12"/>
      <c r="H1753" s="12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</row>
    <row r="1754">
      <c r="A1754" s="11" t="str">
        <f>IFERROR(__xludf.DUMMYFUNCTION("""COMPUTED_VALUE"""),"Commscope Holding Co Inc  Com")</f>
        <v>Commscope Holding Co Inc  Com</v>
      </c>
      <c r="B1754" s="12" t="str">
        <f>IFERROR(__xludf.DUMMYFUNCTION("""COMPUTED_VALUE"""),"COMM-US")</f>
        <v>COMM-US</v>
      </c>
      <c r="C1754" s="12"/>
      <c r="D1754" s="13">
        <f>IFERROR(__xludf.DUMMYFUNCTION("""COMPUTED_VALUE"""),45455.0)</f>
        <v>45455</v>
      </c>
      <c r="E1754" s="13">
        <f>IFERROR(__xludf.DUMMYFUNCTION("""COMPUTED_VALUE"""),45785.0)</f>
        <v>45785</v>
      </c>
      <c r="F1754" s="13">
        <f>IFERROR(__xludf.DUMMYFUNCTION("""COMPUTED_VALUE"""),45785.0)</f>
        <v>45785</v>
      </c>
      <c r="G1754" s="12"/>
      <c r="H1754" s="12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</row>
    <row r="1755">
      <c r="A1755" s="11" t="str">
        <f>IFERROR(__xludf.DUMMYFUNCTION("""COMPUTED_VALUE"""),"A10 Networks Inc  Com")</f>
        <v>A10 Networks Inc  Com</v>
      </c>
      <c r="B1755" s="12" t="str">
        <f>IFERROR(__xludf.DUMMYFUNCTION("""COMPUTED_VALUE"""),"ATEN-US")</f>
        <v>ATEN-US</v>
      </c>
      <c r="C1755" s="12"/>
      <c r="D1755" s="13">
        <f>IFERROR(__xludf.DUMMYFUNCTION("""COMPUTED_VALUE"""),45455.0)</f>
        <v>45455</v>
      </c>
      <c r="E1755" s="13">
        <f>IFERROR(__xludf.DUMMYFUNCTION("""COMPUTED_VALUE"""),45764.0)</f>
        <v>45764</v>
      </c>
      <c r="F1755" s="13">
        <f>IFERROR(__xludf.DUMMYFUNCTION("""COMPUTED_VALUE"""),45764.0)</f>
        <v>45764</v>
      </c>
      <c r="G1755" s="12"/>
      <c r="H1755" s="12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</row>
    <row r="1756">
      <c r="A1756" s="11" t="str">
        <f>IFERROR(__xludf.DUMMYFUNCTION("""COMPUTED_VALUE"""),"Owens &amp; Minor Inc  Com")</f>
        <v>Owens &amp; Minor Inc  Com</v>
      </c>
      <c r="B1756" s="12" t="str">
        <f>IFERROR(__xludf.DUMMYFUNCTION("""COMPUTED_VALUE"""),"OMI-US")</f>
        <v>OMI-US</v>
      </c>
      <c r="C1756" s="12"/>
      <c r="D1756" s="13">
        <f>IFERROR(__xludf.DUMMYFUNCTION("""COMPUTED_VALUE"""),45455.0)</f>
        <v>45455</v>
      </c>
      <c r="E1756" s="13">
        <f>IFERROR(__xludf.DUMMYFUNCTION("""COMPUTED_VALUE"""),45792.0)</f>
        <v>45792</v>
      </c>
      <c r="F1756" s="13">
        <f>IFERROR(__xludf.DUMMYFUNCTION("""COMPUTED_VALUE"""),45792.0)</f>
        <v>45792</v>
      </c>
      <c r="G1756" s="12"/>
      <c r="H1756" s="12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</row>
    <row r="1757">
      <c r="A1757" s="11" t="str">
        <f>IFERROR(__xludf.DUMMYFUNCTION("""COMPUTED_VALUE"""),"Great Lakes Dredge &amp; Dock Corp  Com")</f>
        <v>Great Lakes Dredge &amp; Dock Corp  Com</v>
      </c>
      <c r="B1757" s="12" t="str">
        <f>IFERROR(__xludf.DUMMYFUNCTION("""COMPUTED_VALUE"""),"GLDD-US")</f>
        <v>GLDD-US</v>
      </c>
      <c r="C1757" s="12"/>
      <c r="D1757" s="13">
        <f>IFERROR(__xludf.DUMMYFUNCTION("""COMPUTED_VALUE"""),45455.0)</f>
        <v>45455</v>
      </c>
      <c r="E1757" s="13">
        <f>IFERROR(__xludf.DUMMYFUNCTION("""COMPUTED_VALUE"""),45785.0)</f>
        <v>45785</v>
      </c>
      <c r="F1757" s="13">
        <f>IFERROR(__xludf.DUMMYFUNCTION("""COMPUTED_VALUE"""),45785.0)</f>
        <v>45785</v>
      </c>
      <c r="G1757" s="12"/>
      <c r="H1757" s="12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</row>
    <row r="1758">
      <c r="A1758" s="11" t="str">
        <f>IFERROR(__xludf.DUMMYFUNCTION("""COMPUTED_VALUE"""),"National Cinemedia Inc  Com")</f>
        <v>National Cinemedia Inc  Com</v>
      </c>
      <c r="B1758" s="12" t="str">
        <f>IFERROR(__xludf.DUMMYFUNCTION("""COMPUTED_VALUE"""),"NCMI-US")</f>
        <v>NCMI-US</v>
      </c>
      <c r="C1758" s="12"/>
      <c r="D1758" s="13">
        <f>IFERROR(__xludf.DUMMYFUNCTION("""COMPUTED_VALUE"""),45455.0)</f>
        <v>45455</v>
      </c>
      <c r="E1758" s="13">
        <f>IFERROR(__xludf.DUMMYFUNCTION("""COMPUTED_VALUE"""),45778.0)</f>
        <v>45778</v>
      </c>
      <c r="F1758" s="13">
        <f>IFERROR(__xludf.DUMMYFUNCTION("""COMPUTED_VALUE"""),45778.0)</f>
        <v>45778</v>
      </c>
      <c r="G1758" s="12"/>
      <c r="H1758" s="12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</row>
    <row r="1759">
      <c r="A1759" s="11" t="str">
        <f>IFERROR(__xludf.DUMMYFUNCTION("""COMPUTED_VALUE"""),"Aris Water Solutions Inc  Cl A")</f>
        <v>Aris Water Solutions Inc  Cl A</v>
      </c>
      <c r="B1759" s="12" t="str">
        <f>IFERROR(__xludf.DUMMYFUNCTION("""COMPUTED_VALUE"""),"ARIS-US")</f>
        <v>ARIS-US</v>
      </c>
      <c r="C1759" s="12"/>
      <c r="D1759" s="13">
        <f>IFERROR(__xludf.DUMMYFUNCTION("""COMPUTED_VALUE"""),45455.0)</f>
        <v>45455</v>
      </c>
      <c r="E1759" s="13">
        <f>IFERROR(__xludf.DUMMYFUNCTION("""COMPUTED_VALUE"""),45798.0)</f>
        <v>45798</v>
      </c>
      <c r="F1759" s="13">
        <f>IFERROR(__xludf.DUMMYFUNCTION("""COMPUTED_VALUE"""),45798.0)</f>
        <v>45798</v>
      </c>
      <c r="G1759" s="12"/>
      <c r="H1759" s="12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</row>
    <row r="1760">
      <c r="A1760" s="11" t="str">
        <f>IFERROR(__xludf.DUMMYFUNCTION("""COMPUTED_VALUE"""),"V2X Inc  Com")</f>
        <v>V2X Inc  Com</v>
      </c>
      <c r="B1760" s="12" t="str">
        <f>IFERROR(__xludf.DUMMYFUNCTION("""COMPUTED_VALUE"""),"VVX-US")</f>
        <v>VVX-US</v>
      </c>
      <c r="C1760" s="12"/>
      <c r="D1760" s="13">
        <f>IFERROR(__xludf.DUMMYFUNCTION("""COMPUTED_VALUE"""),45455.0)</f>
        <v>45455</v>
      </c>
      <c r="E1760" s="13">
        <f>IFERROR(__xludf.DUMMYFUNCTION("""COMPUTED_VALUE"""),45785.0)</f>
        <v>45785</v>
      </c>
      <c r="F1760" s="13">
        <f>IFERROR(__xludf.DUMMYFUNCTION("""COMPUTED_VALUE"""),45785.0)</f>
        <v>45785</v>
      </c>
      <c r="G1760" s="12"/>
      <c r="H1760" s="12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</row>
    <row r="1761">
      <c r="A1761" s="11" t="str">
        <f>IFERROR(__xludf.DUMMYFUNCTION("""COMPUTED_VALUE"""),"Kelly Services Inc  Cl A Nvtg")</f>
        <v>Kelly Services Inc  Cl A Nvtg</v>
      </c>
      <c r="B1761" s="12" t="str">
        <f>IFERROR(__xludf.DUMMYFUNCTION("""COMPUTED_VALUE"""),"KELYA-US")</f>
        <v>KELYA-US</v>
      </c>
      <c r="C1761" s="12"/>
      <c r="D1761" s="13">
        <f>IFERROR(__xludf.DUMMYFUNCTION("""COMPUTED_VALUE"""),45455.0)</f>
        <v>45455</v>
      </c>
      <c r="E1761" s="13">
        <f>IFERROR(__xludf.DUMMYFUNCTION("""COMPUTED_VALUE"""),45785.0)</f>
        <v>45785</v>
      </c>
      <c r="F1761" s="13">
        <f>IFERROR(__xludf.DUMMYFUNCTION("""COMPUTED_VALUE"""),45785.0)</f>
        <v>45785</v>
      </c>
      <c r="G1761" s="12"/>
      <c r="H1761" s="12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</row>
    <row r="1762">
      <c r="A1762" s="11" t="str">
        <f>IFERROR(__xludf.DUMMYFUNCTION("""COMPUTED_VALUE"""),"Accel Entertainment Inc  Cl A1")</f>
        <v>Accel Entertainment Inc  Cl A1</v>
      </c>
      <c r="B1762" s="12" t="str">
        <f>IFERROR(__xludf.DUMMYFUNCTION("""COMPUTED_VALUE"""),"ACEL-US")</f>
        <v>ACEL-US</v>
      </c>
      <c r="C1762" s="12"/>
      <c r="D1762" s="13">
        <f>IFERROR(__xludf.DUMMYFUNCTION("""COMPUTED_VALUE"""),45455.0)</f>
        <v>45455</v>
      </c>
      <c r="E1762" s="13">
        <f>IFERROR(__xludf.DUMMYFUNCTION("""COMPUTED_VALUE"""),45814.0)</f>
        <v>45814</v>
      </c>
      <c r="F1762" s="13">
        <f>IFERROR(__xludf.DUMMYFUNCTION("""COMPUTED_VALUE"""),45814.0)</f>
        <v>45814</v>
      </c>
      <c r="G1762" s="12"/>
      <c r="H1762" s="12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</row>
    <row r="1763">
      <c r="A1763" s="11" t="str">
        <f>IFERROR(__xludf.DUMMYFUNCTION("""COMPUTED_VALUE"""),"Clearwater Paper Corp  Com")</f>
        <v>Clearwater Paper Corp  Com</v>
      </c>
      <c r="B1763" s="12" t="str">
        <f>IFERROR(__xludf.DUMMYFUNCTION("""COMPUTED_VALUE"""),"CLW-US")</f>
        <v>CLW-US</v>
      </c>
      <c r="C1763" s="12"/>
      <c r="D1763" s="13">
        <f>IFERROR(__xludf.DUMMYFUNCTION("""COMPUTED_VALUE"""),45455.0)</f>
        <v>45455</v>
      </c>
      <c r="E1763" s="13">
        <f>IFERROR(__xludf.DUMMYFUNCTION("""COMPUTED_VALUE"""),45785.0)</f>
        <v>45785</v>
      </c>
      <c r="F1763" s="13">
        <f>IFERROR(__xludf.DUMMYFUNCTION("""COMPUTED_VALUE"""),45785.0)</f>
        <v>45785</v>
      </c>
      <c r="G1763" s="12"/>
      <c r="H1763" s="12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</row>
    <row r="1764">
      <c r="A1764" s="11" t="str">
        <f>IFERROR(__xludf.DUMMYFUNCTION("""COMPUTED_VALUE"""),"Heartland Express Inc  Com")</f>
        <v>Heartland Express Inc  Com</v>
      </c>
      <c r="B1764" s="12" t="str">
        <f>IFERROR(__xludf.DUMMYFUNCTION("""COMPUTED_VALUE"""),"HTLD-US")</f>
        <v>HTLD-US</v>
      </c>
      <c r="C1764" s="12"/>
      <c r="D1764" s="13">
        <f>IFERROR(__xludf.DUMMYFUNCTION("""COMPUTED_VALUE"""),45455.0)</f>
        <v>45455</v>
      </c>
      <c r="E1764" s="13">
        <f>IFERROR(__xludf.DUMMYFUNCTION("""COMPUTED_VALUE"""),45785.0)</f>
        <v>45785</v>
      </c>
      <c r="F1764" s="13">
        <f>IFERROR(__xludf.DUMMYFUNCTION("""COMPUTED_VALUE"""),45785.0)</f>
        <v>45785</v>
      </c>
      <c r="G1764" s="12"/>
      <c r="H1764" s="12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</row>
    <row r="1765">
      <c r="A1765" s="11" t="str">
        <f>IFERROR(__xludf.DUMMYFUNCTION("""COMPUTED_VALUE"""),"Diamond Hill Investment Group  Com")</f>
        <v>Diamond Hill Investment Group  Com</v>
      </c>
      <c r="B1765" s="12" t="str">
        <f>IFERROR(__xludf.DUMMYFUNCTION("""COMPUTED_VALUE"""),"DHIL-US")</f>
        <v>DHIL-US</v>
      </c>
      <c r="C1765" s="12"/>
      <c r="D1765" s="13">
        <f>IFERROR(__xludf.DUMMYFUNCTION("""COMPUTED_VALUE"""),45455.0)</f>
        <v>45455</v>
      </c>
      <c r="E1765" s="13">
        <f>IFERROR(__xludf.DUMMYFUNCTION("""COMPUTED_VALUE"""),45776.0)</f>
        <v>45776</v>
      </c>
      <c r="F1765" s="13">
        <f>IFERROR(__xludf.DUMMYFUNCTION("""COMPUTED_VALUE"""),45776.0)</f>
        <v>45776</v>
      </c>
      <c r="G1765" s="12"/>
      <c r="H1765" s="12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</row>
    <row r="1766">
      <c r="A1766" s="11" t="str">
        <f>IFERROR(__xludf.DUMMYFUNCTION("""COMPUTED_VALUE"""),"Celcuity Inc  Com")</f>
        <v>Celcuity Inc  Com</v>
      </c>
      <c r="B1766" s="12" t="str">
        <f>IFERROR(__xludf.DUMMYFUNCTION("""COMPUTED_VALUE"""),"CELC-US")</f>
        <v>CELC-US</v>
      </c>
      <c r="C1766" s="12"/>
      <c r="D1766" s="13">
        <f>IFERROR(__xludf.DUMMYFUNCTION("""COMPUTED_VALUE"""),45455.0)</f>
        <v>45455</v>
      </c>
      <c r="E1766" s="13">
        <f>IFERROR(__xludf.DUMMYFUNCTION("""COMPUTED_VALUE"""),45790.0)</f>
        <v>45790</v>
      </c>
      <c r="F1766" s="13">
        <f>IFERROR(__xludf.DUMMYFUNCTION("""COMPUTED_VALUE"""),45790.0)</f>
        <v>45790</v>
      </c>
      <c r="G1766" s="12"/>
      <c r="H1766" s="12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</row>
    <row r="1767">
      <c r="A1767" s="11" t="str">
        <f>IFERROR(__xludf.DUMMYFUNCTION("""COMPUTED_VALUE"""),"Gladstone Land Corp  Com")</f>
        <v>Gladstone Land Corp  Com</v>
      </c>
      <c r="B1767" s="12" t="str">
        <f>IFERROR(__xludf.DUMMYFUNCTION("""COMPUTED_VALUE"""),"LAND-US")</f>
        <v>LAND-US</v>
      </c>
      <c r="C1767" s="12"/>
      <c r="D1767" s="13">
        <f>IFERROR(__xludf.DUMMYFUNCTION("""COMPUTED_VALUE"""),45455.0)</f>
        <v>45455</v>
      </c>
      <c r="E1767" s="13">
        <f>IFERROR(__xludf.DUMMYFUNCTION("""COMPUTED_VALUE"""),45785.0)</f>
        <v>45785</v>
      </c>
      <c r="F1767" s="13">
        <f>IFERROR(__xludf.DUMMYFUNCTION("""COMPUTED_VALUE"""),45785.0)</f>
        <v>45785</v>
      </c>
      <c r="G1767" s="12"/>
      <c r="H1767" s="12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</row>
    <row r="1768">
      <c r="A1768" s="11" t="str">
        <f>IFERROR(__xludf.DUMMYFUNCTION("""COMPUTED_VALUE"""),"Graftech International Ltd  Com")</f>
        <v>Graftech International Ltd  Com</v>
      </c>
      <c r="B1768" s="12" t="str">
        <f>IFERROR(__xludf.DUMMYFUNCTION("""COMPUTED_VALUE"""),"EAF-US")</f>
        <v>EAF-US</v>
      </c>
      <c r="C1768" s="12"/>
      <c r="D1768" s="13">
        <f>IFERROR(__xludf.DUMMYFUNCTION("""COMPUTED_VALUE"""),45455.0)</f>
        <v>45455</v>
      </c>
      <c r="E1768" s="13">
        <f>IFERROR(__xludf.DUMMYFUNCTION("""COMPUTED_VALUE"""),45785.0)</f>
        <v>45785</v>
      </c>
      <c r="F1768" s="13">
        <f>IFERROR(__xludf.DUMMYFUNCTION("""COMPUTED_VALUE"""),45785.0)</f>
        <v>45785</v>
      </c>
      <c r="G1768" s="12"/>
      <c r="H1768" s="12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</row>
    <row r="1769">
      <c r="A1769" s="11" t="str">
        <f>IFERROR(__xludf.DUMMYFUNCTION("""COMPUTED_VALUE"""),"Tredegar Corp  Com")</f>
        <v>Tredegar Corp  Com</v>
      </c>
      <c r="B1769" s="12" t="str">
        <f>IFERROR(__xludf.DUMMYFUNCTION("""COMPUTED_VALUE"""),"TG-US")</f>
        <v>TG-US</v>
      </c>
      <c r="C1769" s="12"/>
      <c r="D1769" s="13">
        <f>IFERROR(__xludf.DUMMYFUNCTION("""COMPUTED_VALUE"""),45455.0)</f>
        <v>45455</v>
      </c>
      <c r="E1769" s="13">
        <f>IFERROR(__xludf.DUMMYFUNCTION("""COMPUTED_VALUE"""),45785.0)</f>
        <v>45785</v>
      </c>
      <c r="F1769" s="13">
        <f>IFERROR(__xludf.DUMMYFUNCTION("""COMPUTED_VALUE"""),45785.0)</f>
        <v>45785</v>
      </c>
      <c r="G1769" s="12"/>
      <c r="H1769" s="12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</row>
    <row r="1770">
      <c r="A1770" s="11" t="str">
        <f>IFERROR(__xludf.DUMMYFUNCTION("""COMPUTED_VALUE"""),"Wideopenwest Inc  Com")</f>
        <v>Wideopenwest Inc  Com</v>
      </c>
      <c r="B1770" s="12" t="str">
        <f>IFERROR(__xludf.DUMMYFUNCTION("""COMPUTED_VALUE"""),"WOW-US")</f>
        <v>WOW-US</v>
      </c>
      <c r="C1770" s="12"/>
      <c r="D1770" s="13">
        <f>IFERROR(__xludf.DUMMYFUNCTION("""COMPUTED_VALUE"""),45455.0)</f>
        <v>45455</v>
      </c>
      <c r="E1770" s="13">
        <f>IFERROR(__xludf.DUMMYFUNCTION("""COMPUTED_VALUE"""),45785.0)</f>
        <v>45785</v>
      </c>
      <c r="F1770" s="13">
        <f>IFERROR(__xludf.DUMMYFUNCTION("""COMPUTED_VALUE"""),45785.0)</f>
        <v>45785</v>
      </c>
      <c r="G1770" s="12"/>
      <c r="H1770" s="12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</row>
    <row r="1771">
      <c r="A1771" s="11" t="str">
        <f>IFERROR(__xludf.DUMMYFUNCTION("""COMPUTED_VALUE"""),"Cassava Sciences Inc  Com")</f>
        <v>Cassava Sciences Inc  Com</v>
      </c>
      <c r="B1771" s="12" t="str">
        <f>IFERROR(__xludf.DUMMYFUNCTION("""COMPUTED_VALUE"""),"SAVA-US")</f>
        <v>SAVA-US</v>
      </c>
      <c r="C1771" s="12"/>
      <c r="D1771" s="13">
        <f>IFERROR(__xludf.DUMMYFUNCTION("""COMPUTED_VALUE"""),45455.0)</f>
        <v>45455</v>
      </c>
      <c r="E1771" s="13">
        <f>IFERROR(__xludf.DUMMYFUNCTION("""COMPUTED_VALUE"""),45800.0)</f>
        <v>45800</v>
      </c>
      <c r="F1771" s="13">
        <f>IFERROR(__xludf.DUMMYFUNCTION("""COMPUTED_VALUE"""),45800.0)</f>
        <v>45800</v>
      </c>
      <c r="G1771" s="12"/>
      <c r="H1771" s="12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</row>
    <row r="1772">
      <c r="A1772" s="11" t="str">
        <f>IFERROR(__xludf.DUMMYFUNCTION("""COMPUTED_VALUE"""),"Advanced Micro Devices Inc  Com")</f>
        <v>Advanced Micro Devices Inc  Com</v>
      </c>
      <c r="B1772" s="12" t="str">
        <f>IFERROR(__xludf.DUMMYFUNCTION("""COMPUTED_VALUE"""),"AMD-US")</f>
        <v>AMD-US</v>
      </c>
      <c r="C1772" s="12"/>
      <c r="D1772" s="13">
        <f>IFERROR(__xludf.DUMMYFUNCTION("""COMPUTED_VALUE"""),45455.0)</f>
        <v>45455</v>
      </c>
      <c r="E1772" s="13">
        <f>IFERROR(__xludf.DUMMYFUNCTION("""COMPUTED_VALUE"""),45791.0)</f>
        <v>45791</v>
      </c>
      <c r="F1772" s="13">
        <f>IFERROR(__xludf.DUMMYFUNCTION("""COMPUTED_VALUE"""),45791.0)</f>
        <v>45791</v>
      </c>
      <c r="G1772" s="12"/>
      <c r="H1772" s="12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</row>
    <row r="1773">
      <c r="A1773" s="11" t="str">
        <f>IFERROR(__xludf.DUMMYFUNCTION("""COMPUTED_VALUE"""),"Philip Morris International Inc  Com")</f>
        <v>Philip Morris International Inc  Com</v>
      </c>
      <c r="B1773" s="12" t="str">
        <f>IFERROR(__xludf.DUMMYFUNCTION("""COMPUTED_VALUE"""),"PM-US")</f>
        <v>PM-US</v>
      </c>
      <c r="C1773" s="12"/>
      <c r="D1773" s="13">
        <f>IFERROR(__xludf.DUMMYFUNCTION("""COMPUTED_VALUE"""),45455.0)</f>
        <v>45455</v>
      </c>
      <c r="E1773" s="13">
        <f>IFERROR(__xludf.DUMMYFUNCTION("""COMPUTED_VALUE"""),45784.0)</f>
        <v>45784</v>
      </c>
      <c r="F1773" s="13">
        <f>IFERROR(__xludf.DUMMYFUNCTION("""COMPUTED_VALUE"""),45784.0)</f>
        <v>45784</v>
      </c>
      <c r="G1773" s="12"/>
      <c r="H1773" s="12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</row>
    <row r="1774">
      <c r="A1774" s="11" t="str">
        <f>IFERROR(__xludf.DUMMYFUNCTION("""COMPUTED_VALUE"""),"Gilead Sciences Inc  Com")</f>
        <v>Gilead Sciences Inc  Com</v>
      </c>
      <c r="B1774" s="12" t="str">
        <f>IFERROR(__xludf.DUMMYFUNCTION("""COMPUTED_VALUE"""),"GILD-US")</f>
        <v>GILD-US</v>
      </c>
      <c r="C1774" s="12"/>
      <c r="D1774" s="13">
        <f>IFERROR(__xludf.DUMMYFUNCTION("""COMPUTED_VALUE"""),45455.0)</f>
        <v>45455</v>
      </c>
      <c r="E1774" s="13">
        <f>IFERROR(__xludf.DUMMYFUNCTION("""COMPUTED_VALUE"""),45784.0)</f>
        <v>45784</v>
      </c>
      <c r="F1774" s="13">
        <f>IFERROR(__xludf.DUMMYFUNCTION("""COMPUTED_VALUE"""),45784.0)</f>
        <v>45784</v>
      </c>
      <c r="G1774" s="12"/>
      <c r="H1774" s="12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</row>
    <row r="1775">
      <c r="A1775" s="11" t="str">
        <f>IFERROR(__xludf.DUMMYFUNCTION("""COMPUTED_VALUE"""),"Csx Corp  Com")</f>
        <v>Csx Corp  Com</v>
      </c>
      <c r="B1775" s="12" t="str">
        <f>IFERROR(__xludf.DUMMYFUNCTION("""COMPUTED_VALUE"""),"CSX-US")</f>
        <v>CSX-US</v>
      </c>
      <c r="C1775" s="12"/>
      <c r="D1775" s="13">
        <f>IFERROR(__xludf.DUMMYFUNCTION("""COMPUTED_VALUE"""),45455.0)</f>
        <v>45455</v>
      </c>
      <c r="E1775" s="13">
        <f>IFERROR(__xludf.DUMMYFUNCTION("""COMPUTED_VALUE"""),45784.0)</f>
        <v>45784</v>
      </c>
      <c r="F1775" s="13">
        <f>IFERROR(__xludf.DUMMYFUNCTION("""COMPUTED_VALUE"""),45784.0)</f>
        <v>45784</v>
      </c>
      <c r="G1775" s="12"/>
      <c r="H1775" s="12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</row>
    <row r="1776">
      <c r="A1776" s="11" t="str">
        <f>IFERROR(__xludf.DUMMYFUNCTION("""COMPUTED_VALUE"""),"Simon Property Group Inc  Com")</f>
        <v>Simon Property Group Inc  Com</v>
      </c>
      <c r="B1776" s="12" t="str">
        <f>IFERROR(__xludf.DUMMYFUNCTION("""COMPUTED_VALUE"""),"SPG-US")</f>
        <v>SPG-US</v>
      </c>
      <c r="C1776" s="12"/>
      <c r="D1776" s="13">
        <f>IFERROR(__xludf.DUMMYFUNCTION("""COMPUTED_VALUE"""),45455.0)</f>
        <v>45455</v>
      </c>
      <c r="E1776" s="13">
        <f>IFERROR(__xludf.DUMMYFUNCTION("""COMPUTED_VALUE"""),45791.0)</f>
        <v>45791</v>
      </c>
      <c r="F1776" s="13">
        <f>IFERROR(__xludf.DUMMYFUNCTION("""COMPUTED_VALUE"""),45791.0)</f>
        <v>45791</v>
      </c>
      <c r="G1776" s="12"/>
      <c r="H1776" s="12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</row>
    <row r="1777">
      <c r="A1777" s="11" t="str">
        <f>IFERROR(__xludf.DUMMYFUNCTION("""COMPUTED_VALUE"""),"Kinder Morgan Inc  Com Cl P")</f>
        <v>Kinder Morgan Inc  Com Cl P</v>
      </c>
      <c r="B1777" s="12" t="str">
        <f>IFERROR(__xludf.DUMMYFUNCTION("""COMPUTED_VALUE"""),"KMI-US")</f>
        <v>KMI-US</v>
      </c>
      <c r="C1777" s="12"/>
      <c r="D1777" s="13">
        <f>IFERROR(__xludf.DUMMYFUNCTION("""COMPUTED_VALUE"""),45455.0)</f>
        <v>45455</v>
      </c>
      <c r="E1777" s="13">
        <f>IFERROR(__xludf.DUMMYFUNCTION("""COMPUTED_VALUE"""),45792.0)</f>
        <v>45792</v>
      </c>
      <c r="F1777" s="13">
        <f>IFERROR(__xludf.DUMMYFUNCTION("""COMPUTED_VALUE"""),45792.0)</f>
        <v>45792</v>
      </c>
      <c r="G1777" s="12"/>
      <c r="H1777" s="12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</row>
    <row r="1778">
      <c r="A1778" s="11" t="str">
        <f>IFERROR(__xludf.DUMMYFUNCTION("""COMPUTED_VALUE"""),"Brown &amp; Brown Inc  Com")</f>
        <v>Brown &amp; Brown Inc  Com</v>
      </c>
      <c r="B1778" s="12" t="str">
        <f>IFERROR(__xludf.DUMMYFUNCTION("""COMPUTED_VALUE"""),"BRO-US")</f>
        <v>BRO-US</v>
      </c>
      <c r="C1778" s="12"/>
      <c r="D1778" s="13">
        <f>IFERROR(__xludf.DUMMYFUNCTION("""COMPUTED_VALUE"""),45455.0)</f>
        <v>45455</v>
      </c>
      <c r="E1778" s="13">
        <f>IFERROR(__xludf.DUMMYFUNCTION("""COMPUTED_VALUE"""),45784.0)</f>
        <v>45784</v>
      </c>
      <c r="F1778" s="13">
        <f>IFERROR(__xludf.DUMMYFUNCTION("""COMPUTED_VALUE"""),45784.0)</f>
        <v>45784</v>
      </c>
      <c r="G1778" s="12"/>
      <c r="H1778" s="12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</row>
    <row r="1779">
      <c r="A1779" s="11" t="str">
        <f>IFERROR(__xludf.DUMMYFUNCTION("""COMPUTED_VALUE"""),"Packaging Corp Of America  Com")</f>
        <v>Packaging Corp Of America  Com</v>
      </c>
      <c r="B1779" s="12" t="str">
        <f>IFERROR(__xludf.DUMMYFUNCTION("""COMPUTED_VALUE"""),"PKG-US")</f>
        <v>PKG-US</v>
      </c>
      <c r="C1779" s="12"/>
      <c r="D1779" s="13">
        <f>IFERROR(__xludf.DUMMYFUNCTION("""COMPUTED_VALUE"""),45455.0)</f>
        <v>45455</v>
      </c>
      <c r="E1779" s="13">
        <f>IFERROR(__xludf.DUMMYFUNCTION("""COMPUTED_VALUE"""),45784.0)</f>
        <v>45784</v>
      </c>
      <c r="F1779" s="13">
        <f>IFERROR(__xludf.DUMMYFUNCTION("""COMPUTED_VALUE"""),45784.0)</f>
        <v>45784</v>
      </c>
      <c r="G1779" s="12"/>
      <c r="H1779" s="12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</row>
    <row r="1780">
      <c r="A1780" s="11" t="str">
        <f>IFERROR(__xludf.DUMMYFUNCTION("""COMPUTED_VALUE"""),"First Solar Inc  Com")</f>
        <v>First Solar Inc  Com</v>
      </c>
      <c r="B1780" s="12" t="str">
        <f>IFERROR(__xludf.DUMMYFUNCTION("""COMPUTED_VALUE"""),"FSLR-US")</f>
        <v>FSLR-US</v>
      </c>
      <c r="C1780" s="12"/>
      <c r="D1780" s="13">
        <f>IFERROR(__xludf.DUMMYFUNCTION("""COMPUTED_VALUE"""),45455.0)</f>
        <v>45455</v>
      </c>
      <c r="E1780" s="13">
        <f>IFERROR(__xludf.DUMMYFUNCTION("""COMPUTED_VALUE"""),45791.0)</f>
        <v>45791</v>
      </c>
      <c r="F1780" s="13">
        <f>IFERROR(__xludf.DUMMYFUNCTION("""COMPUTED_VALUE"""),45791.0)</f>
        <v>45791</v>
      </c>
      <c r="G1780" s="12"/>
      <c r="H1780" s="12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</row>
    <row r="1781">
      <c r="A1781" s="11" t="str">
        <f>IFERROR(__xludf.DUMMYFUNCTION("""COMPUTED_VALUE"""),"Floor &amp; Decor Holdings Inc  Cl A")</f>
        <v>Floor &amp; Decor Holdings Inc  Cl A</v>
      </c>
      <c r="B1781" s="12" t="str">
        <f>IFERROR(__xludf.DUMMYFUNCTION("""COMPUTED_VALUE"""),"FND-US")</f>
        <v>FND-US</v>
      </c>
      <c r="C1781" s="12"/>
      <c r="D1781" s="13">
        <f>IFERROR(__xludf.DUMMYFUNCTION("""COMPUTED_VALUE"""),45455.0)</f>
        <v>45455</v>
      </c>
      <c r="E1781" s="13">
        <f>IFERROR(__xludf.DUMMYFUNCTION("""COMPUTED_VALUE"""),45784.0)</f>
        <v>45784</v>
      </c>
      <c r="F1781" s="13">
        <f>IFERROR(__xludf.DUMMYFUNCTION("""COMPUTED_VALUE"""),45784.0)</f>
        <v>45784</v>
      </c>
      <c r="G1781" s="12"/>
      <c r="H1781" s="12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</row>
    <row r="1782">
      <c r="A1782" s="11" t="str">
        <f>IFERROR(__xludf.DUMMYFUNCTION("""COMPUTED_VALUE"""),"Charles River Labs Intl Inc  Com")</f>
        <v>Charles River Labs Intl Inc  Com</v>
      </c>
      <c r="B1782" s="12" t="str">
        <f>IFERROR(__xludf.DUMMYFUNCTION("""COMPUTED_VALUE"""),"CRL-US")</f>
        <v>CRL-US</v>
      </c>
      <c r="C1782" s="12"/>
      <c r="D1782" s="13">
        <f>IFERROR(__xludf.DUMMYFUNCTION("""COMPUTED_VALUE"""),45455.0)</f>
        <v>45455</v>
      </c>
      <c r="E1782" s="13">
        <f>IFERROR(__xludf.DUMMYFUNCTION("""COMPUTED_VALUE"""),45797.0)</f>
        <v>45797</v>
      </c>
      <c r="F1782" s="13">
        <f>IFERROR(__xludf.DUMMYFUNCTION("""COMPUTED_VALUE"""),45797.0)</f>
        <v>45797</v>
      </c>
      <c r="G1782" s="12"/>
      <c r="H1782" s="12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</row>
    <row r="1783">
      <c r="A1783" s="11" t="str">
        <f>IFERROR(__xludf.DUMMYFUNCTION("""COMPUTED_VALUE"""),"Primerica Inc  Com")</f>
        <v>Primerica Inc  Com</v>
      </c>
      <c r="B1783" s="12" t="str">
        <f>IFERROR(__xludf.DUMMYFUNCTION("""COMPUTED_VALUE"""),"PRI-US")</f>
        <v>PRI-US</v>
      </c>
      <c r="C1783" s="12"/>
      <c r="D1783" s="13">
        <f>IFERROR(__xludf.DUMMYFUNCTION("""COMPUTED_VALUE"""),45455.0)</f>
        <v>45455</v>
      </c>
      <c r="E1783" s="13">
        <f>IFERROR(__xludf.DUMMYFUNCTION("""COMPUTED_VALUE"""),45791.0)</f>
        <v>45791</v>
      </c>
      <c r="F1783" s="13">
        <f>IFERROR(__xludf.DUMMYFUNCTION("""COMPUTED_VALUE"""),45791.0)</f>
        <v>45791</v>
      </c>
      <c r="G1783" s="12"/>
      <c r="H1783" s="12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</row>
    <row r="1784">
      <c r="A1784" s="11" t="str">
        <f>IFERROR(__xludf.DUMMYFUNCTION("""COMPUTED_VALUE"""),"Allison Transmission Hldgs Inc  Com")</f>
        <v>Allison Transmission Hldgs Inc  Com</v>
      </c>
      <c r="B1784" s="12" t="str">
        <f>IFERROR(__xludf.DUMMYFUNCTION("""COMPUTED_VALUE"""),"ALSN-US")</f>
        <v>ALSN-US</v>
      </c>
      <c r="C1784" s="12"/>
      <c r="D1784" s="13">
        <f>IFERROR(__xludf.DUMMYFUNCTION("""COMPUTED_VALUE"""),45455.0)</f>
        <v>45455</v>
      </c>
      <c r="E1784" s="13">
        <f>IFERROR(__xludf.DUMMYFUNCTION("""COMPUTED_VALUE"""),45784.0)</f>
        <v>45784</v>
      </c>
      <c r="F1784" s="13">
        <f>IFERROR(__xludf.DUMMYFUNCTION("""COMPUTED_VALUE"""),45784.0)</f>
        <v>45784</v>
      </c>
      <c r="G1784" s="12"/>
      <c r="H1784" s="12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</row>
    <row r="1785">
      <c r="A1785" s="11" t="str">
        <f>IFERROR(__xludf.DUMMYFUNCTION("""COMPUTED_VALUE"""),"Range Resources Corp  Com")</f>
        <v>Range Resources Corp  Com</v>
      </c>
      <c r="B1785" s="12" t="str">
        <f>IFERROR(__xludf.DUMMYFUNCTION("""COMPUTED_VALUE"""),"RRC-US")</f>
        <v>RRC-US</v>
      </c>
      <c r="C1785" s="12"/>
      <c r="D1785" s="13">
        <f>IFERROR(__xludf.DUMMYFUNCTION("""COMPUTED_VALUE"""),45455.0)</f>
        <v>45455</v>
      </c>
      <c r="E1785" s="13">
        <f>IFERROR(__xludf.DUMMYFUNCTION("""COMPUTED_VALUE"""),45791.0)</f>
        <v>45791</v>
      </c>
      <c r="F1785" s="13">
        <f>IFERROR(__xludf.DUMMYFUNCTION("""COMPUTED_VALUE"""),45791.0)</f>
        <v>45791</v>
      </c>
      <c r="G1785" s="12"/>
      <c r="H1785" s="12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</row>
    <row r="1786">
      <c r="A1786" s="11" t="str">
        <f>IFERROR(__xludf.DUMMYFUNCTION("""COMPUTED_VALUE"""),"Msa Safety Inc  Com")</f>
        <v>Msa Safety Inc  Com</v>
      </c>
      <c r="B1786" s="12" t="str">
        <f>IFERROR(__xludf.DUMMYFUNCTION("""COMPUTED_VALUE"""),"MSA-US")</f>
        <v>MSA-US</v>
      </c>
      <c r="C1786" s="12"/>
      <c r="D1786" s="13">
        <f>IFERROR(__xludf.DUMMYFUNCTION("""COMPUTED_VALUE"""),45455.0)</f>
        <v>45455</v>
      </c>
      <c r="E1786" s="13">
        <f>IFERROR(__xludf.DUMMYFUNCTION("""COMPUTED_VALUE"""),45790.0)</f>
        <v>45790</v>
      </c>
      <c r="F1786" s="13">
        <f>IFERROR(__xludf.DUMMYFUNCTION("""COMPUTED_VALUE"""),45790.0)</f>
        <v>45790</v>
      </c>
      <c r="G1786" s="12"/>
      <c r="H1786" s="12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</row>
    <row r="1787">
      <c r="A1787" s="11" t="str">
        <f>IFERROR(__xludf.DUMMYFUNCTION("""COMPUTED_VALUE"""),"Columbia Banking Systems Inc  Com")</f>
        <v>Columbia Banking Systems Inc  Com</v>
      </c>
      <c r="B1787" s="12" t="str">
        <f>IFERROR(__xludf.DUMMYFUNCTION("""COMPUTED_VALUE"""),"COLB-US")</f>
        <v>COLB-US</v>
      </c>
      <c r="C1787" s="12"/>
      <c r="D1787" s="13">
        <f>IFERROR(__xludf.DUMMYFUNCTION("""COMPUTED_VALUE"""),45455.0)</f>
        <v>45455</v>
      </c>
      <c r="E1787" s="13">
        <f>IFERROR(__xludf.DUMMYFUNCTION("""COMPUTED_VALUE"""),45792.0)</f>
        <v>45792</v>
      </c>
      <c r="F1787" s="13">
        <f>IFERROR(__xludf.DUMMYFUNCTION("""COMPUTED_VALUE"""),45792.0)</f>
        <v>45792</v>
      </c>
      <c r="G1787" s="12"/>
      <c r="H1787" s="12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</row>
    <row r="1788">
      <c r="A1788" s="11" t="str">
        <f>IFERROR(__xludf.DUMMYFUNCTION("""COMPUTED_VALUE"""),"Novanta Inc  Com")</f>
        <v>Novanta Inc  Com</v>
      </c>
      <c r="B1788" s="12" t="str">
        <f>IFERROR(__xludf.DUMMYFUNCTION("""COMPUTED_VALUE"""),"NOVT-US")</f>
        <v>NOVT-US</v>
      </c>
      <c r="C1788" s="12"/>
      <c r="D1788" s="13">
        <f>IFERROR(__xludf.DUMMYFUNCTION("""COMPUTED_VALUE"""),45455.0)</f>
        <v>45455</v>
      </c>
      <c r="E1788" s="13">
        <f>IFERROR(__xludf.DUMMYFUNCTION("""COMPUTED_VALUE"""),45806.0)</f>
        <v>45806</v>
      </c>
      <c r="F1788" s="13">
        <f>IFERROR(__xludf.DUMMYFUNCTION("""COMPUTED_VALUE"""),45806.0)</f>
        <v>45806</v>
      </c>
      <c r="G1788" s="12"/>
      <c r="H1788" s="12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</row>
    <row r="1789">
      <c r="A1789" s="11" t="str">
        <f>IFERROR(__xludf.DUMMYFUNCTION("""COMPUTED_VALUE"""),"Primo Brands Corp  Cl A")</f>
        <v>Primo Brands Corp  Cl A</v>
      </c>
      <c r="B1789" s="12" t="str">
        <f>IFERROR(__xludf.DUMMYFUNCTION("""COMPUTED_VALUE"""),"PRMB-US")</f>
        <v>PRMB-US</v>
      </c>
      <c r="C1789" s="12"/>
      <c r="D1789" s="13">
        <f>IFERROR(__xludf.DUMMYFUNCTION("""COMPUTED_VALUE"""),45455.0)</f>
        <v>45455</v>
      </c>
      <c r="E1789" s="13">
        <f>IFERROR(__xludf.DUMMYFUNCTION("""COMPUTED_VALUE"""),45778.0)</f>
        <v>45778</v>
      </c>
      <c r="F1789" s="13">
        <f>IFERROR(__xludf.DUMMYFUNCTION("""COMPUTED_VALUE"""),45778.0)</f>
        <v>45778</v>
      </c>
      <c r="G1789" s="12"/>
      <c r="H1789" s="12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</row>
    <row r="1790">
      <c r="A1790" s="11" t="str">
        <f>IFERROR(__xludf.DUMMYFUNCTION("""COMPUTED_VALUE"""),"Fnb Corp/Pa  Com")</f>
        <v>Fnb Corp/Pa  Com</v>
      </c>
      <c r="B1790" s="12" t="str">
        <f>IFERROR(__xludf.DUMMYFUNCTION("""COMPUTED_VALUE"""),"FNB-US")</f>
        <v>FNB-US</v>
      </c>
      <c r="C1790" s="12"/>
      <c r="D1790" s="13">
        <f>IFERROR(__xludf.DUMMYFUNCTION("""COMPUTED_VALUE"""),45455.0)</f>
        <v>45455</v>
      </c>
      <c r="E1790" s="13">
        <f>IFERROR(__xludf.DUMMYFUNCTION("""COMPUTED_VALUE"""),45784.0)</f>
        <v>45784</v>
      </c>
      <c r="F1790" s="13">
        <f>IFERROR(__xludf.DUMMYFUNCTION("""COMPUTED_VALUE"""),45784.0)</f>
        <v>45784</v>
      </c>
      <c r="G1790" s="12"/>
      <c r="H1790" s="12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</row>
    <row r="1791">
      <c r="A1791" s="11" t="str">
        <f>IFERROR(__xludf.DUMMYFUNCTION("""COMPUTED_VALUE"""),"Arcosa Inc  Com")</f>
        <v>Arcosa Inc  Com</v>
      </c>
      <c r="B1791" s="12" t="str">
        <f>IFERROR(__xludf.DUMMYFUNCTION("""COMPUTED_VALUE"""),"ACA-US")</f>
        <v>ACA-US</v>
      </c>
      <c r="C1791" s="12"/>
      <c r="D1791" s="13">
        <f>IFERROR(__xludf.DUMMYFUNCTION("""COMPUTED_VALUE"""),45455.0)</f>
        <v>45455</v>
      </c>
      <c r="E1791" s="13">
        <f>IFERROR(__xludf.DUMMYFUNCTION("""COMPUTED_VALUE"""),45791.0)</f>
        <v>45791</v>
      </c>
      <c r="F1791" s="13">
        <f>IFERROR(__xludf.DUMMYFUNCTION("""COMPUTED_VALUE"""),45791.0)</f>
        <v>45791</v>
      </c>
      <c r="G1791" s="12"/>
      <c r="H1791" s="12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</row>
    <row r="1792">
      <c r="A1792" s="11" t="str">
        <f>IFERROR(__xludf.DUMMYFUNCTION("""COMPUTED_VALUE"""),"Murphy Oil Corp  Com")</f>
        <v>Murphy Oil Corp  Com</v>
      </c>
      <c r="B1792" s="12" t="str">
        <f>IFERROR(__xludf.DUMMYFUNCTION("""COMPUTED_VALUE"""),"MUR-US")</f>
        <v>MUR-US</v>
      </c>
      <c r="C1792" s="12"/>
      <c r="D1792" s="13">
        <f>IFERROR(__xludf.DUMMYFUNCTION("""COMPUTED_VALUE"""),45455.0)</f>
        <v>45455</v>
      </c>
      <c r="E1792" s="13">
        <f>IFERROR(__xludf.DUMMYFUNCTION("""COMPUTED_VALUE"""),45744.0)</f>
        <v>45744</v>
      </c>
      <c r="F1792" s="13">
        <f>IFERROR(__xludf.DUMMYFUNCTION("""COMPUTED_VALUE"""),45744.0)</f>
        <v>45744</v>
      </c>
      <c r="G1792" s="12"/>
      <c r="H1792" s="12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</row>
    <row r="1793">
      <c r="A1793" s="11" t="str">
        <f>IFERROR(__xludf.DUMMYFUNCTION("""COMPUTED_VALUE"""),"Ormat Technologies Inc  Com")</f>
        <v>Ormat Technologies Inc  Com</v>
      </c>
      <c r="B1793" s="12" t="str">
        <f>IFERROR(__xludf.DUMMYFUNCTION("""COMPUTED_VALUE"""),"ORA-US")</f>
        <v>ORA-US</v>
      </c>
      <c r="C1793" s="12"/>
      <c r="D1793" s="13">
        <f>IFERROR(__xludf.DUMMYFUNCTION("""COMPUTED_VALUE"""),45455.0)</f>
        <v>45455</v>
      </c>
      <c r="E1793" s="13">
        <f>IFERROR(__xludf.DUMMYFUNCTION("""COMPUTED_VALUE"""),45784.0)</f>
        <v>45784</v>
      </c>
      <c r="F1793" s="13">
        <f>IFERROR(__xludf.DUMMYFUNCTION("""COMPUTED_VALUE"""),45784.0)</f>
        <v>45784</v>
      </c>
      <c r="G1793" s="12"/>
      <c r="H1793" s="12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</row>
    <row r="1794">
      <c r="A1794" s="11" t="str">
        <f>IFERROR(__xludf.DUMMYFUNCTION("""COMPUTED_VALUE"""),"Cogent Communications Hldgs Inc  Com")</f>
        <v>Cogent Communications Hldgs Inc  Com</v>
      </c>
      <c r="B1794" s="12" t="str">
        <f>IFERROR(__xludf.DUMMYFUNCTION("""COMPUTED_VALUE"""),"CCOI-US")</f>
        <v>CCOI-US</v>
      </c>
      <c r="C1794" s="12"/>
      <c r="D1794" s="13">
        <f>IFERROR(__xludf.DUMMYFUNCTION("""COMPUTED_VALUE"""),45455.0)</f>
        <v>45455</v>
      </c>
      <c r="E1794" s="13">
        <f>IFERROR(__xludf.DUMMYFUNCTION("""COMPUTED_VALUE"""),45784.0)</f>
        <v>45784</v>
      </c>
      <c r="F1794" s="13">
        <f>IFERROR(__xludf.DUMMYFUNCTION("""COMPUTED_VALUE"""),45784.0)</f>
        <v>45784</v>
      </c>
      <c r="G1794" s="12"/>
      <c r="H1794" s="12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</row>
    <row r="1795">
      <c r="A1795" s="11" t="str">
        <f>IFERROR(__xludf.DUMMYFUNCTION("""COMPUTED_VALUE"""),"Hilton Grand Vacations Inc  Com")</f>
        <v>Hilton Grand Vacations Inc  Com</v>
      </c>
      <c r="B1795" s="12" t="str">
        <f>IFERROR(__xludf.DUMMYFUNCTION("""COMPUTED_VALUE"""),"HGV-US")</f>
        <v>HGV-US</v>
      </c>
      <c r="C1795" s="12"/>
      <c r="D1795" s="13">
        <f>IFERROR(__xludf.DUMMYFUNCTION("""COMPUTED_VALUE"""),45455.0)</f>
        <v>45455</v>
      </c>
      <c r="E1795" s="13">
        <f>IFERROR(__xludf.DUMMYFUNCTION("""COMPUTED_VALUE"""),45784.0)</f>
        <v>45784</v>
      </c>
      <c r="F1795" s="13">
        <f>IFERROR(__xludf.DUMMYFUNCTION("""COMPUTED_VALUE"""),45784.0)</f>
        <v>45784</v>
      </c>
      <c r="G1795" s="12"/>
      <c r="H1795" s="12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</row>
    <row r="1796">
      <c r="A1796" s="11" t="str">
        <f>IFERROR(__xludf.DUMMYFUNCTION("""COMPUTED_VALUE"""),"Enova International Inc  Com")</f>
        <v>Enova International Inc  Com</v>
      </c>
      <c r="B1796" s="12" t="str">
        <f>IFERROR(__xludf.DUMMYFUNCTION("""COMPUTED_VALUE"""),"ENVA-US")</f>
        <v>ENVA-US</v>
      </c>
      <c r="C1796" s="12"/>
      <c r="D1796" s="13">
        <f>IFERROR(__xludf.DUMMYFUNCTION("""COMPUTED_VALUE"""),45455.0)</f>
        <v>45455</v>
      </c>
      <c r="E1796" s="13">
        <f>IFERROR(__xludf.DUMMYFUNCTION("""COMPUTED_VALUE"""),45791.0)</f>
        <v>45791</v>
      </c>
      <c r="F1796" s="13">
        <f>IFERROR(__xludf.DUMMYFUNCTION("""COMPUTED_VALUE"""),45791.0)</f>
        <v>45791</v>
      </c>
      <c r="G1796" s="12"/>
      <c r="H1796" s="12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</row>
    <row r="1797">
      <c r="A1797" s="11" t="str">
        <f>IFERROR(__xludf.DUMMYFUNCTION("""COMPUTED_VALUE"""),"Chesapeake Utilities Corp  Com")</f>
        <v>Chesapeake Utilities Corp  Com</v>
      </c>
      <c r="B1797" s="12" t="str">
        <f>IFERROR(__xludf.DUMMYFUNCTION("""COMPUTED_VALUE"""),"CPK-US")</f>
        <v>CPK-US</v>
      </c>
      <c r="C1797" s="12"/>
      <c r="D1797" s="13">
        <f>IFERROR(__xludf.DUMMYFUNCTION("""COMPUTED_VALUE"""),45455.0)</f>
        <v>45455</v>
      </c>
      <c r="E1797" s="13">
        <f>IFERROR(__xludf.DUMMYFUNCTION("""COMPUTED_VALUE"""),45784.0)</f>
        <v>45784</v>
      </c>
      <c r="F1797" s="13">
        <f>IFERROR(__xludf.DUMMYFUNCTION("""COMPUTED_VALUE"""),45784.0)</f>
        <v>45784</v>
      </c>
      <c r="G1797" s="12"/>
      <c r="H1797" s="12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</row>
    <row r="1798">
      <c r="A1798" s="11" t="str">
        <f>IFERROR(__xludf.DUMMYFUNCTION("""COMPUTED_VALUE"""),"Victory Capital Holdings Inc  Cl A")</f>
        <v>Victory Capital Holdings Inc  Cl A</v>
      </c>
      <c r="B1798" s="12" t="str">
        <f>IFERROR(__xludf.DUMMYFUNCTION("""COMPUTED_VALUE"""),"VCTR-US")</f>
        <v>VCTR-US</v>
      </c>
      <c r="C1798" s="12"/>
      <c r="D1798" s="13">
        <f>IFERROR(__xludf.DUMMYFUNCTION("""COMPUTED_VALUE"""),45455.0)</f>
        <v>45455</v>
      </c>
      <c r="E1798" s="13">
        <f>IFERROR(__xludf.DUMMYFUNCTION("""COMPUTED_VALUE"""),45784.0)</f>
        <v>45784</v>
      </c>
      <c r="F1798" s="13">
        <f>IFERROR(__xludf.DUMMYFUNCTION("""COMPUTED_VALUE"""),45784.0)</f>
        <v>45784</v>
      </c>
      <c r="G1798" s="12"/>
      <c r="H1798" s="12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</row>
    <row r="1799">
      <c r="A1799" s="11" t="str">
        <f>IFERROR(__xludf.DUMMYFUNCTION("""COMPUTED_VALUE"""),"Ttm Technologies Inc  Com")</f>
        <v>Ttm Technologies Inc  Com</v>
      </c>
      <c r="B1799" s="12" t="str">
        <f>IFERROR(__xludf.DUMMYFUNCTION("""COMPUTED_VALUE"""),"TTMI-US")</f>
        <v>TTMI-US</v>
      </c>
      <c r="C1799" s="12"/>
      <c r="D1799" s="13">
        <f>IFERROR(__xludf.DUMMYFUNCTION("""COMPUTED_VALUE"""),45455.0)</f>
        <v>45455</v>
      </c>
      <c r="E1799" s="13">
        <f>IFERROR(__xludf.DUMMYFUNCTION("""COMPUTED_VALUE"""),45785.0)</f>
        <v>45785</v>
      </c>
      <c r="F1799" s="13">
        <f>IFERROR(__xludf.DUMMYFUNCTION("""COMPUTED_VALUE"""),45785.0)</f>
        <v>45785</v>
      </c>
      <c r="G1799" s="12"/>
      <c r="H1799" s="12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</row>
    <row r="1800">
      <c r="A1800" s="11" t="str">
        <f>IFERROR(__xludf.DUMMYFUNCTION("""COMPUTED_VALUE"""),"Century Communities Inc  Com")</f>
        <v>Century Communities Inc  Com</v>
      </c>
      <c r="B1800" s="12" t="str">
        <f>IFERROR(__xludf.DUMMYFUNCTION("""COMPUTED_VALUE"""),"CCS-US")</f>
        <v>CCS-US</v>
      </c>
      <c r="C1800" s="12"/>
      <c r="D1800" s="13">
        <f>IFERROR(__xludf.DUMMYFUNCTION("""COMPUTED_VALUE"""),45455.0)</f>
        <v>45455</v>
      </c>
      <c r="E1800" s="13">
        <f>IFERROR(__xludf.DUMMYFUNCTION("""COMPUTED_VALUE"""),45784.0)</f>
        <v>45784</v>
      </c>
      <c r="F1800" s="13">
        <f>IFERROR(__xludf.DUMMYFUNCTION("""COMPUTED_VALUE"""),45784.0)</f>
        <v>45784</v>
      </c>
      <c r="G1800" s="12"/>
      <c r="H1800" s="12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</row>
    <row r="1801">
      <c r="A1801" s="11" t="str">
        <f>IFERROR(__xludf.DUMMYFUNCTION("""COMPUTED_VALUE"""),"Bank Of Nt Butterfield &amp; Son  Com")</f>
        <v>Bank Of Nt Butterfield &amp; Son  Com</v>
      </c>
      <c r="B1801" s="12" t="str">
        <f>IFERROR(__xludf.DUMMYFUNCTION("""COMPUTED_VALUE"""),"NTB-US")</f>
        <v>NTB-US</v>
      </c>
      <c r="C1801" s="12"/>
      <c r="D1801" s="13">
        <f>IFERROR(__xludf.DUMMYFUNCTION("""COMPUTED_VALUE"""),45455.0)</f>
        <v>45455</v>
      </c>
      <c r="E1801" s="13">
        <f>IFERROR(__xludf.DUMMYFUNCTION("""COMPUTED_VALUE"""),45785.0)</f>
        <v>45785</v>
      </c>
      <c r="F1801" s="13">
        <f>IFERROR(__xludf.DUMMYFUNCTION("""COMPUTED_VALUE"""),45785.0)</f>
        <v>45785</v>
      </c>
      <c r="G1801" s="12"/>
      <c r="H1801" s="12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</row>
    <row r="1802">
      <c r="A1802" s="11" t="str">
        <f>IFERROR(__xludf.DUMMYFUNCTION("""COMPUTED_VALUE"""),"Quaker Houghton  Com")</f>
        <v>Quaker Houghton  Com</v>
      </c>
      <c r="B1802" s="12" t="str">
        <f>IFERROR(__xludf.DUMMYFUNCTION("""COMPUTED_VALUE"""),"KWR-US")</f>
        <v>KWR-US</v>
      </c>
      <c r="C1802" s="12"/>
      <c r="D1802" s="13">
        <f>IFERROR(__xludf.DUMMYFUNCTION("""COMPUTED_VALUE"""),45455.0)</f>
        <v>45455</v>
      </c>
      <c r="E1802" s="13">
        <f>IFERROR(__xludf.DUMMYFUNCTION("""COMPUTED_VALUE"""),45784.0)</f>
        <v>45784</v>
      </c>
      <c r="F1802" s="13">
        <f>IFERROR(__xludf.DUMMYFUNCTION("""COMPUTED_VALUE"""),45784.0)</f>
        <v>45784</v>
      </c>
      <c r="G1802" s="12"/>
      <c r="H1802" s="12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</row>
    <row r="1803">
      <c r="A1803" s="11" t="str">
        <f>IFERROR(__xludf.DUMMYFUNCTION("""COMPUTED_VALUE"""),"Ofg Bancorp  Com")</f>
        <v>Ofg Bancorp  Com</v>
      </c>
      <c r="B1803" s="12" t="str">
        <f>IFERROR(__xludf.DUMMYFUNCTION("""COMPUTED_VALUE"""),"OFG-US")</f>
        <v>OFG-US</v>
      </c>
      <c r="C1803" s="12"/>
      <c r="D1803" s="13">
        <f>IFERROR(__xludf.DUMMYFUNCTION("""COMPUTED_VALUE"""),45455.0)</f>
        <v>45455</v>
      </c>
      <c r="E1803" s="13">
        <f>IFERROR(__xludf.DUMMYFUNCTION("""COMPUTED_VALUE"""),45777.0)</f>
        <v>45777</v>
      </c>
      <c r="F1803" s="13">
        <f>IFERROR(__xludf.DUMMYFUNCTION("""COMPUTED_VALUE"""),45777.0)</f>
        <v>45777</v>
      </c>
      <c r="G1803" s="12"/>
      <c r="H1803" s="12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</row>
    <row r="1804">
      <c r="A1804" s="11" t="str">
        <f>IFERROR(__xludf.DUMMYFUNCTION("""COMPUTED_VALUE"""),"Mercury General Corp  New Com")</f>
        <v>Mercury General Corp  New Com</v>
      </c>
      <c r="B1804" s="12" t="str">
        <f>IFERROR(__xludf.DUMMYFUNCTION("""COMPUTED_VALUE"""),"MCY-US")</f>
        <v>MCY-US</v>
      </c>
      <c r="C1804" s="12"/>
      <c r="D1804" s="13">
        <f>IFERROR(__xludf.DUMMYFUNCTION("""COMPUTED_VALUE"""),45455.0)</f>
        <v>45455</v>
      </c>
      <c r="E1804" s="13">
        <f>IFERROR(__xludf.DUMMYFUNCTION("""COMPUTED_VALUE"""),45791.0)</f>
        <v>45791</v>
      </c>
      <c r="F1804" s="13">
        <f>IFERROR(__xludf.DUMMYFUNCTION("""COMPUTED_VALUE"""),45791.0)</f>
        <v>45791</v>
      </c>
      <c r="G1804" s="12"/>
      <c r="H1804" s="12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</row>
    <row r="1805">
      <c r="A1805" s="11" t="str">
        <f>IFERROR(__xludf.DUMMYFUNCTION("""COMPUTED_VALUE"""),"Stewart Information Services  Com")</f>
        <v>Stewart Information Services  Com</v>
      </c>
      <c r="B1805" s="12" t="str">
        <f>IFERROR(__xludf.DUMMYFUNCTION("""COMPUTED_VALUE"""),"STC-US")</f>
        <v>STC-US</v>
      </c>
      <c r="C1805" s="12"/>
      <c r="D1805" s="13">
        <f>IFERROR(__xludf.DUMMYFUNCTION("""COMPUTED_VALUE"""),45455.0)</f>
        <v>45455</v>
      </c>
      <c r="E1805" s="13">
        <f>IFERROR(__xludf.DUMMYFUNCTION("""COMPUTED_VALUE"""),45785.0)</f>
        <v>45785</v>
      </c>
      <c r="F1805" s="13">
        <f>IFERROR(__xludf.DUMMYFUNCTION("""COMPUTED_VALUE"""),45785.0)</f>
        <v>45785</v>
      </c>
      <c r="G1805" s="12"/>
      <c r="H1805" s="12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</row>
    <row r="1806">
      <c r="A1806" s="11" t="str">
        <f>IFERROR(__xludf.DUMMYFUNCTION("""COMPUTED_VALUE"""),"Leggett &amp; Platt Inc  Com")</f>
        <v>Leggett &amp; Platt Inc  Com</v>
      </c>
      <c r="B1806" s="12" t="str">
        <f>IFERROR(__xludf.DUMMYFUNCTION("""COMPUTED_VALUE"""),"LEG-US")</f>
        <v>LEG-US</v>
      </c>
      <c r="C1806" s="12"/>
      <c r="D1806" s="13">
        <f>IFERROR(__xludf.DUMMYFUNCTION("""COMPUTED_VALUE"""),45455.0)</f>
        <v>45455</v>
      </c>
      <c r="E1806" s="13">
        <f>IFERROR(__xludf.DUMMYFUNCTION("""COMPUTED_VALUE"""),45784.0)</f>
        <v>45784</v>
      </c>
      <c r="F1806" s="13">
        <f>IFERROR(__xludf.DUMMYFUNCTION("""COMPUTED_VALUE"""),45784.0)</f>
        <v>45784</v>
      </c>
      <c r="G1806" s="12"/>
      <c r="H1806" s="12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</row>
    <row r="1807">
      <c r="A1807" s="11" t="str">
        <f>IFERROR(__xludf.DUMMYFUNCTION("""COMPUTED_VALUE"""),"Tronox Holdings Plc  Com")</f>
        <v>Tronox Holdings Plc  Com</v>
      </c>
      <c r="B1807" s="12" t="str">
        <f>IFERROR(__xludf.DUMMYFUNCTION("""COMPUTED_VALUE"""),"TROX-US")</f>
        <v>TROX-US</v>
      </c>
      <c r="C1807" s="12"/>
      <c r="D1807" s="13">
        <f>IFERROR(__xludf.DUMMYFUNCTION("""COMPUTED_VALUE"""),45455.0)</f>
        <v>45455</v>
      </c>
      <c r="E1807" s="13">
        <f>IFERROR(__xludf.DUMMYFUNCTION("""COMPUTED_VALUE"""),45784.0)</f>
        <v>45784</v>
      </c>
      <c r="F1807" s="13">
        <f>IFERROR(__xludf.DUMMYFUNCTION("""COMPUTED_VALUE"""),45784.0)</f>
        <v>45784</v>
      </c>
      <c r="G1807" s="12"/>
      <c r="H1807" s="12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</row>
    <row r="1808">
      <c r="A1808" s="11" t="str">
        <f>IFERROR(__xludf.DUMMYFUNCTION("""COMPUTED_VALUE"""),"Select Water Solutions Inc  Cl A")</f>
        <v>Select Water Solutions Inc  Cl A</v>
      </c>
      <c r="B1808" s="12" t="str">
        <f>IFERROR(__xludf.DUMMYFUNCTION("""COMPUTED_VALUE"""),"WTTR-US")</f>
        <v>WTTR-US</v>
      </c>
      <c r="C1808" s="12"/>
      <c r="D1808" s="13">
        <f>IFERROR(__xludf.DUMMYFUNCTION("""COMPUTED_VALUE"""),45455.0)</f>
        <v>45455</v>
      </c>
      <c r="E1808" s="13">
        <f>IFERROR(__xludf.DUMMYFUNCTION("""COMPUTED_VALUE"""),45779.0)</f>
        <v>45779</v>
      </c>
      <c r="F1808" s="13">
        <f>IFERROR(__xludf.DUMMYFUNCTION("""COMPUTED_VALUE"""),45779.0)</f>
        <v>45779</v>
      </c>
      <c r="G1808" s="12"/>
      <c r="H1808" s="12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</row>
    <row r="1809">
      <c r="A1809" s="11" t="str">
        <f>IFERROR(__xludf.DUMMYFUNCTION("""COMPUTED_VALUE"""),"Purecycle Technologies Inc  Com")</f>
        <v>Purecycle Technologies Inc  Com</v>
      </c>
      <c r="B1809" s="12" t="str">
        <f>IFERROR(__xludf.DUMMYFUNCTION("""COMPUTED_VALUE"""),"PCT-US")</f>
        <v>PCT-US</v>
      </c>
      <c r="C1809" s="12"/>
      <c r="D1809" s="13">
        <f>IFERROR(__xludf.DUMMYFUNCTION("""COMPUTED_VALUE"""),45455.0)</f>
        <v>45455</v>
      </c>
      <c r="E1809" s="13">
        <f>IFERROR(__xludf.DUMMYFUNCTION("""COMPUTED_VALUE"""),45785.0)</f>
        <v>45785</v>
      </c>
      <c r="F1809" s="13">
        <f>IFERROR(__xludf.DUMMYFUNCTION("""COMPUTED_VALUE"""),45785.0)</f>
        <v>45785</v>
      </c>
      <c r="G1809" s="12"/>
      <c r="H1809" s="12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</row>
    <row r="1810">
      <c r="A1810" s="11" t="str">
        <f>IFERROR(__xludf.DUMMYFUNCTION("""COMPUTED_VALUE"""),"Fidelis Insurance Holdings Ltd  Com")</f>
        <v>Fidelis Insurance Holdings Ltd  Com</v>
      </c>
      <c r="B1810" s="12" t="str">
        <f>IFERROR(__xludf.DUMMYFUNCTION("""COMPUTED_VALUE"""),"FIHL-US")</f>
        <v>FIHL-US</v>
      </c>
      <c r="C1810" s="12"/>
      <c r="D1810" s="13">
        <f>IFERROR(__xludf.DUMMYFUNCTION("""COMPUTED_VALUE"""),45455.0)</f>
        <v>45455</v>
      </c>
      <c r="E1810" s="13">
        <f>IFERROR(__xludf.DUMMYFUNCTION("""COMPUTED_VALUE"""),45783.0)</f>
        <v>45783</v>
      </c>
      <c r="F1810" s="13">
        <f>IFERROR(__xludf.DUMMYFUNCTION("""COMPUTED_VALUE"""),45783.0)</f>
        <v>45783</v>
      </c>
      <c r="G1810" s="12"/>
      <c r="H1810" s="12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</row>
    <row r="1811">
      <c r="A1811" s="11" t="str">
        <f>IFERROR(__xludf.DUMMYFUNCTION("""COMPUTED_VALUE"""),"Core Laboratories Inc  Com")</f>
        <v>Core Laboratories Inc  Com</v>
      </c>
      <c r="B1811" s="12" t="str">
        <f>IFERROR(__xludf.DUMMYFUNCTION("""COMPUTED_VALUE"""),"CLB-US")</f>
        <v>CLB-US</v>
      </c>
      <c r="C1811" s="12"/>
      <c r="D1811" s="13">
        <f>IFERROR(__xludf.DUMMYFUNCTION("""COMPUTED_VALUE"""),45455.0)</f>
        <v>45455</v>
      </c>
      <c r="E1811" s="13">
        <f>IFERROR(__xludf.DUMMYFUNCTION("""COMPUTED_VALUE"""),45798.0)</f>
        <v>45798</v>
      </c>
      <c r="F1811" s="13">
        <f>IFERROR(__xludf.DUMMYFUNCTION("""COMPUTED_VALUE"""),45798.0)</f>
        <v>45798</v>
      </c>
      <c r="G1811" s="12"/>
      <c r="H1811" s="12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</row>
    <row r="1812">
      <c r="A1812" s="11" t="str">
        <f>IFERROR(__xludf.DUMMYFUNCTION("""COMPUTED_VALUE"""),"Ecovyst Inc  Com")</f>
        <v>Ecovyst Inc  Com</v>
      </c>
      <c r="B1812" s="12" t="str">
        <f>IFERROR(__xludf.DUMMYFUNCTION("""COMPUTED_VALUE"""),"ECVT-US")</f>
        <v>ECVT-US</v>
      </c>
      <c r="C1812" s="12"/>
      <c r="D1812" s="13">
        <f>IFERROR(__xludf.DUMMYFUNCTION("""COMPUTED_VALUE"""),45456.0)</f>
        <v>45456</v>
      </c>
      <c r="E1812" s="13">
        <f>IFERROR(__xludf.DUMMYFUNCTION("""COMPUTED_VALUE"""),45785.0)</f>
        <v>45785</v>
      </c>
      <c r="F1812" s="13">
        <f>IFERROR(__xludf.DUMMYFUNCTION("""COMPUTED_VALUE"""),45785.0)</f>
        <v>45785</v>
      </c>
      <c r="G1812" s="12"/>
      <c r="H1812" s="12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</row>
    <row r="1813">
      <c r="A1813" s="11" t="str">
        <f>IFERROR(__xludf.DUMMYFUNCTION("""COMPUTED_VALUE"""),"Site Centers Corp  Com")</f>
        <v>Site Centers Corp  Com</v>
      </c>
      <c r="B1813" s="12" t="str">
        <f>IFERROR(__xludf.DUMMYFUNCTION("""COMPUTED_VALUE"""),"SITC-US")</f>
        <v>SITC-US</v>
      </c>
      <c r="C1813" s="12"/>
      <c r="D1813" s="13">
        <f>IFERROR(__xludf.DUMMYFUNCTION("""COMPUTED_VALUE"""),45456.0)</f>
        <v>45456</v>
      </c>
      <c r="E1813" s="13">
        <f>IFERROR(__xludf.DUMMYFUNCTION("""COMPUTED_VALUE"""),45791.0)</f>
        <v>45791</v>
      </c>
      <c r="F1813" s="13">
        <f>IFERROR(__xludf.DUMMYFUNCTION("""COMPUTED_VALUE"""),45791.0)</f>
        <v>45791</v>
      </c>
      <c r="G1813" s="12"/>
      <c r="H1813" s="12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</row>
    <row r="1814">
      <c r="A1814" s="11" t="str">
        <f>IFERROR(__xludf.DUMMYFUNCTION("""COMPUTED_VALUE"""),"Adtran Holdings Inc  Com")</f>
        <v>Adtran Holdings Inc  Com</v>
      </c>
      <c r="B1814" s="12" t="str">
        <f>IFERROR(__xludf.DUMMYFUNCTION("""COMPUTED_VALUE"""),"ADTN-US")</f>
        <v>ADTN-US</v>
      </c>
      <c r="C1814" s="12"/>
      <c r="D1814" s="13">
        <f>IFERROR(__xludf.DUMMYFUNCTION("""COMPUTED_VALUE"""),45456.0)</f>
        <v>45456</v>
      </c>
      <c r="E1814" s="13">
        <f>IFERROR(__xludf.DUMMYFUNCTION("""COMPUTED_VALUE"""),45862.0)</f>
        <v>45862</v>
      </c>
      <c r="F1814" s="13">
        <f>IFERROR(__xludf.DUMMYFUNCTION("""COMPUTED_VALUE"""),45862.0)</f>
        <v>45862</v>
      </c>
      <c r="G1814" s="12"/>
      <c r="H1814" s="12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</row>
    <row r="1815">
      <c r="A1815" s="11" t="str">
        <f>IFERROR(__xludf.DUMMYFUNCTION("""COMPUTED_VALUE"""),"Amerant Bancorp Inc  Cl A")</f>
        <v>Amerant Bancorp Inc  Cl A</v>
      </c>
      <c r="B1815" s="12" t="str">
        <f>IFERROR(__xludf.DUMMYFUNCTION("""COMPUTED_VALUE"""),"AMTB-US")</f>
        <v>AMTB-US</v>
      </c>
      <c r="C1815" s="12"/>
      <c r="D1815" s="13">
        <f>IFERROR(__xludf.DUMMYFUNCTION("""COMPUTED_VALUE"""),45456.0)</f>
        <v>45456</v>
      </c>
      <c r="E1815" s="13">
        <f>IFERROR(__xludf.DUMMYFUNCTION("""COMPUTED_VALUE"""),45784.0)</f>
        <v>45784</v>
      </c>
      <c r="F1815" s="13">
        <f>IFERROR(__xludf.DUMMYFUNCTION("""COMPUTED_VALUE"""),45784.0)</f>
        <v>45784</v>
      </c>
      <c r="G1815" s="12"/>
      <c r="H1815" s="12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</row>
    <row r="1816">
      <c r="A1816" s="11" t="str">
        <f>IFERROR(__xludf.DUMMYFUNCTION("""COMPUTED_VALUE"""),"Great Southern Bancorp Inc  Com")</f>
        <v>Great Southern Bancorp Inc  Com</v>
      </c>
      <c r="B1816" s="12" t="str">
        <f>IFERROR(__xludf.DUMMYFUNCTION("""COMPUTED_VALUE"""),"GSBC-US")</f>
        <v>GSBC-US</v>
      </c>
      <c r="C1816" s="12"/>
      <c r="D1816" s="13">
        <f>IFERROR(__xludf.DUMMYFUNCTION("""COMPUTED_VALUE"""),45456.0)</f>
        <v>45456</v>
      </c>
      <c r="E1816" s="13">
        <f>IFERROR(__xludf.DUMMYFUNCTION("""COMPUTED_VALUE"""),45784.0)</f>
        <v>45784</v>
      </c>
      <c r="F1816" s="13">
        <f>IFERROR(__xludf.DUMMYFUNCTION("""COMPUTED_VALUE"""),45784.0)</f>
        <v>45784</v>
      </c>
      <c r="G1816" s="12"/>
      <c r="H1816" s="12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</row>
    <row r="1817">
      <c r="A1817" s="11" t="str">
        <f>IFERROR(__xludf.DUMMYFUNCTION("""COMPUTED_VALUE"""),"Frp Holdings Inc  Com")</f>
        <v>Frp Holdings Inc  Com</v>
      </c>
      <c r="B1817" s="12" t="str">
        <f>IFERROR(__xludf.DUMMYFUNCTION("""COMPUTED_VALUE"""),"FRPH-US")</f>
        <v>FRPH-US</v>
      </c>
      <c r="C1817" s="12"/>
      <c r="D1817" s="13">
        <f>IFERROR(__xludf.DUMMYFUNCTION("""COMPUTED_VALUE"""),45456.0)</f>
        <v>45456</v>
      </c>
      <c r="E1817" s="13">
        <f>IFERROR(__xludf.DUMMYFUNCTION("""COMPUTED_VALUE"""),45789.0)</f>
        <v>45789</v>
      </c>
      <c r="F1817" s="13">
        <f>IFERROR(__xludf.DUMMYFUNCTION("""COMPUTED_VALUE"""),45789.0)</f>
        <v>45789</v>
      </c>
      <c r="G1817" s="12"/>
      <c r="H1817" s="12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</row>
    <row r="1818">
      <c r="A1818" s="11" t="str">
        <f>IFERROR(__xludf.DUMMYFUNCTION("""COMPUTED_VALUE"""),"Theravance Biopharma Inc  Com")</f>
        <v>Theravance Biopharma Inc  Com</v>
      </c>
      <c r="B1818" s="12" t="str">
        <f>IFERROR(__xludf.DUMMYFUNCTION("""COMPUTED_VALUE"""),"TBPH-US")</f>
        <v>TBPH-US</v>
      </c>
      <c r="C1818" s="12"/>
      <c r="D1818" s="13">
        <f>IFERROR(__xludf.DUMMYFUNCTION("""COMPUTED_VALUE"""),45456.0)</f>
        <v>45456</v>
      </c>
      <c r="E1818" s="13">
        <f>IFERROR(__xludf.DUMMYFUNCTION("""COMPUTED_VALUE"""),45796.0)</f>
        <v>45796</v>
      </c>
      <c r="F1818" s="13">
        <f>IFERROR(__xludf.DUMMYFUNCTION("""COMPUTED_VALUE"""),45796.0)</f>
        <v>45796</v>
      </c>
      <c r="G1818" s="12"/>
      <c r="H1818" s="12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</row>
    <row r="1819">
      <c r="A1819" s="11" t="str">
        <f>IFERROR(__xludf.DUMMYFUNCTION("""COMPUTED_VALUE"""),"Hyster Yale Inc  Cl A")</f>
        <v>Hyster Yale Inc  Cl A</v>
      </c>
      <c r="B1819" s="12" t="str">
        <f>IFERROR(__xludf.DUMMYFUNCTION("""COMPUTED_VALUE"""),"HY-US")</f>
        <v>HY-US</v>
      </c>
      <c r="C1819" s="12"/>
      <c r="D1819" s="13">
        <f>IFERROR(__xludf.DUMMYFUNCTION("""COMPUTED_VALUE"""),45456.0)</f>
        <v>45456</v>
      </c>
      <c r="E1819" s="13">
        <f>IFERROR(__xludf.DUMMYFUNCTION("""COMPUTED_VALUE"""),45790.0)</f>
        <v>45790</v>
      </c>
      <c r="F1819" s="13">
        <f>IFERROR(__xludf.DUMMYFUNCTION("""COMPUTED_VALUE"""),45790.0)</f>
        <v>45790</v>
      </c>
      <c r="G1819" s="12"/>
      <c r="H1819" s="12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</row>
    <row r="1820">
      <c r="A1820" s="11" t="str">
        <f>IFERROR(__xludf.DUMMYFUNCTION("""COMPUTED_VALUE"""),"Tactile Systems Technology Inc  Com")</f>
        <v>Tactile Systems Technology Inc  Com</v>
      </c>
      <c r="B1820" s="12" t="str">
        <f>IFERROR(__xludf.DUMMYFUNCTION("""COMPUTED_VALUE"""),"TCMD-US")</f>
        <v>TCMD-US</v>
      </c>
      <c r="C1820" s="12"/>
      <c r="D1820" s="13">
        <f>IFERROR(__xludf.DUMMYFUNCTION("""COMPUTED_VALUE"""),45456.0)</f>
        <v>45456</v>
      </c>
      <c r="E1820" s="13">
        <f>IFERROR(__xludf.DUMMYFUNCTION("""COMPUTED_VALUE"""),45784.0)</f>
        <v>45784</v>
      </c>
      <c r="F1820" s="13">
        <f>IFERROR(__xludf.DUMMYFUNCTION("""COMPUTED_VALUE"""),45784.0)</f>
        <v>45784</v>
      </c>
      <c r="G1820" s="12"/>
      <c r="H1820" s="12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</row>
    <row r="1821">
      <c r="A1821" s="11" t="str">
        <f>IFERROR(__xludf.DUMMYFUNCTION("""COMPUTED_VALUE"""),"Astronics Corp  Com")</f>
        <v>Astronics Corp  Com</v>
      </c>
      <c r="B1821" s="12" t="str">
        <f>IFERROR(__xludf.DUMMYFUNCTION("""COMPUTED_VALUE"""),"ATRO-US")</f>
        <v>ATRO-US</v>
      </c>
      <c r="C1821" s="12"/>
      <c r="D1821" s="13">
        <f>IFERROR(__xludf.DUMMYFUNCTION("""COMPUTED_VALUE"""),45456.0)</f>
        <v>45456</v>
      </c>
      <c r="E1821" s="13">
        <f>IFERROR(__xludf.DUMMYFUNCTION("""COMPUTED_VALUE"""),45799.0)</f>
        <v>45799</v>
      </c>
      <c r="F1821" s="13">
        <f>IFERROR(__xludf.DUMMYFUNCTION("""COMPUTED_VALUE"""),45799.0)</f>
        <v>45799</v>
      </c>
      <c r="G1821" s="12"/>
      <c r="H1821" s="12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</row>
    <row r="1822">
      <c r="A1822" s="11" t="str">
        <f>IFERROR(__xludf.DUMMYFUNCTION("""COMPUTED_VALUE"""),"Allient Inc  Com")</f>
        <v>Allient Inc  Com</v>
      </c>
      <c r="B1822" s="12" t="str">
        <f>IFERROR(__xludf.DUMMYFUNCTION("""COMPUTED_VALUE"""),"ALNT-US")</f>
        <v>ALNT-US</v>
      </c>
      <c r="C1822" s="12"/>
      <c r="D1822" s="13">
        <f>IFERROR(__xludf.DUMMYFUNCTION("""COMPUTED_VALUE"""),45456.0)</f>
        <v>45456</v>
      </c>
      <c r="E1822" s="13">
        <f>IFERROR(__xludf.DUMMYFUNCTION("""COMPUTED_VALUE"""),45784.0)</f>
        <v>45784</v>
      </c>
      <c r="F1822" s="13">
        <f>IFERROR(__xludf.DUMMYFUNCTION("""COMPUTED_VALUE"""),45784.0)</f>
        <v>45784</v>
      </c>
      <c r="G1822" s="12"/>
      <c r="H1822" s="12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</row>
    <row r="1823">
      <c r="A1823" s="11" t="str">
        <f>IFERROR(__xludf.DUMMYFUNCTION("""COMPUTED_VALUE"""),"Gray Television Inc  Com")</f>
        <v>Gray Television Inc  Com</v>
      </c>
      <c r="B1823" s="12" t="str">
        <f>IFERROR(__xludf.DUMMYFUNCTION("""COMPUTED_VALUE"""),"GTN-US")</f>
        <v>GTN-US</v>
      </c>
      <c r="C1823" s="12"/>
      <c r="D1823" s="13">
        <f>IFERROR(__xludf.DUMMYFUNCTION("""COMPUTED_VALUE"""),45456.0)</f>
        <v>45456</v>
      </c>
      <c r="E1823" s="13">
        <f>IFERROR(__xludf.DUMMYFUNCTION("""COMPUTED_VALUE"""),45784.0)</f>
        <v>45784</v>
      </c>
      <c r="F1823" s="13">
        <f>IFERROR(__xludf.DUMMYFUNCTION("""COMPUTED_VALUE"""),45784.0)</f>
        <v>45784</v>
      </c>
      <c r="G1823" s="12"/>
      <c r="H1823" s="12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</row>
    <row r="1824">
      <c r="A1824" s="11" t="str">
        <f>IFERROR(__xludf.DUMMYFUNCTION("""COMPUTED_VALUE"""),"National Research Corp  Com")</f>
        <v>National Research Corp  Com</v>
      </c>
      <c r="B1824" s="12" t="str">
        <f>IFERROR(__xludf.DUMMYFUNCTION("""COMPUTED_VALUE"""),"NRC-US")</f>
        <v>NRC-US</v>
      </c>
      <c r="C1824" s="12"/>
      <c r="D1824" s="13">
        <f>IFERROR(__xludf.DUMMYFUNCTION("""COMPUTED_VALUE"""),45456.0)</f>
        <v>45456</v>
      </c>
      <c r="E1824" s="13">
        <f>IFERROR(__xludf.DUMMYFUNCTION("""COMPUTED_VALUE"""),45784.0)</f>
        <v>45784</v>
      </c>
      <c r="F1824" s="13">
        <f>IFERROR(__xludf.DUMMYFUNCTION("""COMPUTED_VALUE"""),45784.0)</f>
        <v>45784</v>
      </c>
      <c r="G1824" s="12"/>
      <c r="H1824" s="12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</row>
    <row r="1825">
      <c r="A1825" s="11" t="str">
        <f>IFERROR(__xludf.DUMMYFUNCTION("""COMPUTED_VALUE"""),"Genie Energy Ltd  Cl B")</f>
        <v>Genie Energy Ltd  Cl B</v>
      </c>
      <c r="B1825" s="12" t="str">
        <f>IFERROR(__xludf.DUMMYFUNCTION("""COMPUTED_VALUE"""),"GNE-US")</f>
        <v>GNE-US</v>
      </c>
      <c r="C1825" s="12"/>
      <c r="D1825" s="13">
        <f>IFERROR(__xludf.DUMMYFUNCTION("""COMPUTED_VALUE"""),45456.0)</f>
        <v>45456</v>
      </c>
      <c r="E1825" s="13">
        <f>IFERROR(__xludf.DUMMYFUNCTION("""COMPUTED_VALUE"""),45783.0)</f>
        <v>45783</v>
      </c>
      <c r="F1825" s="13">
        <f>IFERROR(__xludf.DUMMYFUNCTION("""COMPUTED_VALUE"""),45783.0)</f>
        <v>45783</v>
      </c>
      <c r="G1825" s="12"/>
      <c r="H1825" s="12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</row>
    <row r="1826">
      <c r="A1826" s="11" t="str">
        <f>IFERROR(__xludf.DUMMYFUNCTION("""COMPUTED_VALUE"""),"Ge Aerospace  Com")</f>
        <v>Ge Aerospace  Com</v>
      </c>
      <c r="B1826" s="12" t="str">
        <f>IFERROR(__xludf.DUMMYFUNCTION("""COMPUTED_VALUE"""),"GE-US")</f>
        <v>GE-US</v>
      </c>
      <c r="C1826" s="12"/>
      <c r="D1826" s="13">
        <f>IFERROR(__xludf.DUMMYFUNCTION("""COMPUTED_VALUE"""),45456.0)</f>
        <v>45456</v>
      </c>
      <c r="E1826" s="13">
        <f>IFERROR(__xludf.DUMMYFUNCTION("""COMPUTED_VALUE"""),45783.0)</f>
        <v>45783</v>
      </c>
      <c r="F1826" s="13">
        <f>IFERROR(__xludf.DUMMYFUNCTION("""COMPUTED_VALUE"""),45783.0)</f>
        <v>45783</v>
      </c>
      <c r="G1826" s="12"/>
      <c r="H1826" s="12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</row>
    <row r="1827">
      <c r="A1827" s="11" t="str">
        <f>IFERROR(__xludf.DUMMYFUNCTION("""COMPUTED_VALUE"""),"Danaher Corp  Com")</f>
        <v>Danaher Corp  Com</v>
      </c>
      <c r="B1827" s="12" t="str">
        <f>IFERROR(__xludf.DUMMYFUNCTION("""COMPUTED_VALUE"""),"DHR-US")</f>
        <v>DHR-US</v>
      </c>
      <c r="C1827" s="12"/>
      <c r="D1827" s="13">
        <f>IFERROR(__xludf.DUMMYFUNCTION("""COMPUTED_VALUE"""),45456.0)</f>
        <v>45456</v>
      </c>
      <c r="E1827" s="13">
        <f>IFERROR(__xludf.DUMMYFUNCTION("""COMPUTED_VALUE"""),45783.0)</f>
        <v>45783</v>
      </c>
      <c r="F1827" s="13">
        <f>IFERROR(__xludf.DUMMYFUNCTION("""COMPUTED_VALUE"""),45783.0)</f>
        <v>45783</v>
      </c>
      <c r="G1827" s="12"/>
      <c r="H1827" s="12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</row>
    <row r="1828">
      <c r="A1828" s="11" t="str">
        <f>IFERROR(__xludf.DUMMYFUNCTION("""COMPUTED_VALUE"""),"Bristol Myers Squibb Co  Com")</f>
        <v>Bristol Myers Squibb Co  Com</v>
      </c>
      <c r="B1828" s="12" t="str">
        <f>IFERROR(__xludf.DUMMYFUNCTION("""COMPUTED_VALUE"""),"BMY-US")</f>
        <v>BMY-US</v>
      </c>
      <c r="C1828" s="12"/>
      <c r="D1828" s="13">
        <f>IFERROR(__xludf.DUMMYFUNCTION("""COMPUTED_VALUE"""),45456.0)</f>
        <v>45456</v>
      </c>
      <c r="E1828" s="13">
        <f>IFERROR(__xludf.DUMMYFUNCTION("""COMPUTED_VALUE"""),45783.0)</f>
        <v>45783</v>
      </c>
      <c r="F1828" s="13">
        <f>IFERROR(__xludf.DUMMYFUNCTION("""COMPUTED_VALUE"""),45783.0)</f>
        <v>45783</v>
      </c>
      <c r="G1828" s="12"/>
      <c r="H1828" s="12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</row>
    <row r="1829">
      <c r="A1829" s="11" t="str">
        <f>IFERROR(__xludf.DUMMYFUNCTION("""COMPUTED_VALUE"""),"Intel Corp  Com")</f>
        <v>Intel Corp  Com</v>
      </c>
      <c r="B1829" s="12" t="str">
        <f>IFERROR(__xludf.DUMMYFUNCTION("""COMPUTED_VALUE"""),"INTC-US")</f>
        <v>INTC-US</v>
      </c>
      <c r="C1829" s="12"/>
      <c r="D1829" s="13">
        <f>IFERROR(__xludf.DUMMYFUNCTION("""COMPUTED_VALUE"""),45456.0)</f>
        <v>45456</v>
      </c>
      <c r="E1829" s="13">
        <f>IFERROR(__xludf.DUMMYFUNCTION("""COMPUTED_VALUE"""),45783.0)</f>
        <v>45783</v>
      </c>
      <c r="F1829" s="13">
        <f>IFERROR(__xludf.DUMMYFUNCTION("""COMPUTED_VALUE"""),45783.0)</f>
        <v>45783</v>
      </c>
      <c r="G1829" s="12"/>
      <c r="H1829" s="12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</row>
    <row r="1830">
      <c r="A1830" s="11" t="str">
        <f>IFERROR(__xludf.DUMMYFUNCTION("""COMPUTED_VALUE"""),"Arthur J Gallagher &amp; Co  Com")</f>
        <v>Arthur J Gallagher &amp; Co  Com</v>
      </c>
      <c r="B1830" s="12" t="str">
        <f>IFERROR(__xludf.DUMMYFUNCTION("""COMPUTED_VALUE"""),"AJG-US")</f>
        <v>AJG-US</v>
      </c>
      <c r="C1830" s="12"/>
      <c r="D1830" s="13">
        <f>IFERROR(__xludf.DUMMYFUNCTION("""COMPUTED_VALUE"""),45456.0)</f>
        <v>45456</v>
      </c>
      <c r="E1830" s="13">
        <f>IFERROR(__xludf.DUMMYFUNCTION("""COMPUTED_VALUE"""),45790.0)</f>
        <v>45790</v>
      </c>
      <c r="F1830" s="13">
        <f>IFERROR(__xludf.DUMMYFUNCTION("""COMPUTED_VALUE"""),45790.0)</f>
        <v>45790</v>
      </c>
      <c r="G1830" s="12"/>
      <c r="H1830" s="12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</row>
    <row r="1831">
      <c r="A1831" s="11" t="str">
        <f>IFERROR(__xludf.DUMMYFUNCTION("""COMPUTED_VALUE"""),"Public Storage  Com")</f>
        <v>Public Storage  Com</v>
      </c>
      <c r="B1831" s="12" t="str">
        <f>IFERROR(__xludf.DUMMYFUNCTION("""COMPUTED_VALUE"""),"PSA-US")</f>
        <v>PSA-US</v>
      </c>
      <c r="C1831" s="12"/>
      <c r="D1831" s="13">
        <f>IFERROR(__xludf.DUMMYFUNCTION("""COMPUTED_VALUE"""),45456.0)</f>
        <v>45456</v>
      </c>
      <c r="E1831" s="13">
        <f>IFERROR(__xludf.DUMMYFUNCTION("""COMPUTED_VALUE"""),45784.0)</f>
        <v>45784</v>
      </c>
      <c r="F1831" s="13">
        <f>IFERROR(__xludf.DUMMYFUNCTION("""COMPUTED_VALUE"""),45784.0)</f>
        <v>45784</v>
      </c>
      <c r="G1831" s="12"/>
      <c r="H1831" s="12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</row>
    <row r="1832">
      <c r="A1832" s="11" t="str">
        <f>IFERROR(__xludf.DUMMYFUNCTION("""COMPUTED_VALUE"""),"Dominion Energy Inc  Com")</f>
        <v>Dominion Energy Inc  Com</v>
      </c>
      <c r="B1832" s="12" t="str">
        <f>IFERROR(__xludf.DUMMYFUNCTION("""COMPUTED_VALUE"""),"D-US")</f>
        <v>D-US</v>
      </c>
      <c r="C1832" s="12"/>
      <c r="D1832" s="13">
        <f>IFERROR(__xludf.DUMMYFUNCTION("""COMPUTED_VALUE"""),45456.0)</f>
        <v>45456</v>
      </c>
      <c r="E1832" s="13">
        <f>IFERROR(__xludf.DUMMYFUNCTION("""COMPUTED_VALUE"""),45784.0)</f>
        <v>45784</v>
      </c>
      <c r="F1832" s="13">
        <f>IFERROR(__xludf.DUMMYFUNCTION("""COMPUTED_VALUE"""),45784.0)</f>
        <v>45784</v>
      </c>
      <c r="G1832" s="12"/>
      <c r="H1832" s="12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</row>
    <row r="1833">
      <c r="A1833" s="11" t="str">
        <f>IFERROR(__xludf.DUMMYFUNCTION("""COMPUTED_VALUE"""),"Ametek Inc  Com")</f>
        <v>Ametek Inc  Com</v>
      </c>
      <c r="B1833" s="12" t="str">
        <f>IFERROR(__xludf.DUMMYFUNCTION("""COMPUTED_VALUE"""),"AME-US")</f>
        <v>AME-US</v>
      </c>
      <c r="C1833" s="12"/>
      <c r="D1833" s="13">
        <f>IFERROR(__xludf.DUMMYFUNCTION("""COMPUTED_VALUE"""),45456.0)</f>
        <v>45456</v>
      </c>
      <c r="E1833" s="13">
        <f>IFERROR(__xludf.DUMMYFUNCTION("""COMPUTED_VALUE"""),45784.0)</f>
        <v>45784</v>
      </c>
      <c r="F1833" s="13">
        <f>IFERROR(__xludf.DUMMYFUNCTION("""COMPUTED_VALUE"""),45784.0)</f>
        <v>45784</v>
      </c>
      <c r="G1833" s="12"/>
      <c r="H1833" s="12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</row>
    <row r="1834">
      <c r="A1834" s="11" t="str">
        <f>IFERROR(__xludf.DUMMYFUNCTION("""COMPUTED_VALUE"""),"T Rowe Price Group Inc  Com")</f>
        <v>T Rowe Price Group Inc  Com</v>
      </c>
      <c r="B1834" s="12" t="str">
        <f>IFERROR(__xludf.DUMMYFUNCTION("""COMPUTED_VALUE"""),"TROW-US")</f>
        <v>TROW-US</v>
      </c>
      <c r="C1834" s="12"/>
      <c r="D1834" s="13">
        <f>IFERROR(__xludf.DUMMYFUNCTION("""COMPUTED_VALUE"""),45456.0)</f>
        <v>45456</v>
      </c>
      <c r="E1834" s="13">
        <f>IFERROR(__xludf.DUMMYFUNCTION("""COMPUTED_VALUE"""),45785.0)</f>
        <v>45785</v>
      </c>
      <c r="F1834" s="13">
        <f>IFERROR(__xludf.DUMMYFUNCTION("""COMPUTED_VALUE"""),45785.0)</f>
        <v>45785</v>
      </c>
      <c r="G1834" s="12"/>
      <c r="H1834" s="12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</row>
    <row r="1835">
      <c r="A1835" s="11" t="str">
        <f>IFERROR(__xludf.DUMMYFUNCTION("""COMPUTED_VALUE"""),"Hubbell Inc  Com")</f>
        <v>Hubbell Inc  Com</v>
      </c>
      <c r="B1835" s="12" t="str">
        <f>IFERROR(__xludf.DUMMYFUNCTION("""COMPUTED_VALUE"""),"HUBB-US")</f>
        <v>HUBB-US</v>
      </c>
      <c r="C1835" s="12"/>
      <c r="D1835" s="13">
        <f>IFERROR(__xludf.DUMMYFUNCTION("""COMPUTED_VALUE"""),45456.0)</f>
        <v>45456</v>
      </c>
      <c r="E1835" s="13">
        <f>IFERROR(__xludf.DUMMYFUNCTION("""COMPUTED_VALUE"""),45783.0)</f>
        <v>45783</v>
      </c>
      <c r="F1835" s="13">
        <f>IFERROR(__xludf.DUMMYFUNCTION("""COMPUTED_VALUE"""),45783.0)</f>
        <v>45783</v>
      </c>
      <c r="G1835" s="12"/>
      <c r="H1835" s="12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</row>
    <row r="1836">
      <c r="A1836" s="11" t="str">
        <f>IFERROR(__xludf.DUMMYFUNCTION("""COMPUTED_VALUE"""),"Nvr Inc  Com")</f>
        <v>Nvr Inc  Com</v>
      </c>
      <c r="B1836" s="12" t="str">
        <f>IFERROR(__xludf.DUMMYFUNCTION("""COMPUTED_VALUE"""),"NVR-US")</f>
        <v>NVR-US</v>
      </c>
      <c r="C1836" s="12"/>
      <c r="D1836" s="13">
        <f>IFERROR(__xludf.DUMMYFUNCTION("""COMPUTED_VALUE"""),45456.0)</f>
        <v>45456</v>
      </c>
      <c r="E1836" s="13">
        <f>IFERROR(__xludf.DUMMYFUNCTION("""COMPUTED_VALUE"""),45783.0)</f>
        <v>45783</v>
      </c>
      <c r="F1836" s="13">
        <f>IFERROR(__xludf.DUMMYFUNCTION("""COMPUTED_VALUE"""),45783.0)</f>
        <v>45783</v>
      </c>
      <c r="G1836" s="12"/>
      <c r="H1836" s="12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</row>
    <row r="1837">
      <c r="A1837" s="11" t="str">
        <f>IFERROR(__xludf.DUMMYFUNCTION("""COMPUTED_VALUE"""),"Rb Global Inc  Com")</f>
        <v>Rb Global Inc  Com</v>
      </c>
      <c r="B1837" s="12" t="str">
        <f>IFERROR(__xludf.DUMMYFUNCTION("""COMPUTED_VALUE"""),"RBA-CA")</f>
        <v>RBA-CA</v>
      </c>
      <c r="C1837" s="12"/>
      <c r="D1837" s="13">
        <f>IFERROR(__xludf.DUMMYFUNCTION("""COMPUTED_VALUE"""),45456.0)</f>
        <v>45456</v>
      </c>
      <c r="E1837" s="13">
        <f>IFERROR(__xludf.DUMMYFUNCTION("""COMPUTED_VALUE"""),45782.0)</f>
        <v>45782</v>
      </c>
      <c r="F1837" s="13">
        <f>IFERROR(__xludf.DUMMYFUNCTION("""COMPUTED_VALUE"""),45782.0)</f>
        <v>45782</v>
      </c>
      <c r="G1837" s="12"/>
      <c r="H1837" s="12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</row>
    <row r="1838">
      <c r="A1838" s="11" t="str">
        <f>IFERROR(__xludf.DUMMYFUNCTION("""COMPUTED_VALUE"""),"Pentair Plc  Com")</f>
        <v>Pentair Plc  Com</v>
      </c>
      <c r="B1838" s="12" t="str">
        <f>IFERROR(__xludf.DUMMYFUNCTION("""COMPUTED_VALUE"""),"PNR-US")</f>
        <v>PNR-US</v>
      </c>
      <c r="C1838" s="12"/>
      <c r="D1838" s="13">
        <f>IFERROR(__xludf.DUMMYFUNCTION("""COMPUTED_VALUE"""),45456.0)</f>
        <v>45456</v>
      </c>
      <c r="E1838" s="13">
        <f>IFERROR(__xludf.DUMMYFUNCTION("""COMPUTED_VALUE"""),45783.0)</f>
        <v>45783</v>
      </c>
      <c r="F1838" s="13">
        <f>IFERROR(__xludf.DUMMYFUNCTION("""COMPUTED_VALUE"""),45783.0)</f>
        <v>45783</v>
      </c>
      <c r="G1838" s="12"/>
      <c r="H1838" s="12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</row>
    <row r="1839">
      <c r="A1839" s="11" t="str">
        <f>IFERROR(__xludf.DUMMYFUNCTION("""COMPUTED_VALUE"""),"Omnicom Group Inc  Com")</f>
        <v>Omnicom Group Inc  Com</v>
      </c>
      <c r="B1839" s="12" t="str">
        <f>IFERROR(__xludf.DUMMYFUNCTION("""COMPUTED_VALUE"""),"OMC-US")</f>
        <v>OMC-US</v>
      </c>
      <c r="C1839" s="12"/>
      <c r="D1839" s="13">
        <f>IFERROR(__xludf.DUMMYFUNCTION("""COMPUTED_VALUE"""),45456.0)</f>
        <v>45456</v>
      </c>
      <c r="E1839" s="13">
        <f>IFERROR(__xludf.DUMMYFUNCTION("""COMPUTED_VALUE"""),45783.0)</f>
        <v>45783</v>
      </c>
      <c r="F1839" s="13">
        <f>IFERROR(__xludf.DUMMYFUNCTION("""COMPUTED_VALUE"""),45783.0)</f>
        <v>45783</v>
      </c>
      <c r="G1839" s="12"/>
      <c r="H1839" s="12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</row>
    <row r="1840">
      <c r="A1840" s="11" t="str">
        <f>IFERROR(__xludf.DUMMYFUNCTION("""COMPUTED_VALUE"""),"Idex Corp  Com")</f>
        <v>Idex Corp  Com</v>
      </c>
      <c r="B1840" s="12" t="str">
        <f>IFERROR(__xludf.DUMMYFUNCTION("""COMPUTED_VALUE"""),"IEX-US")</f>
        <v>IEX-US</v>
      </c>
      <c r="C1840" s="12"/>
      <c r="D1840" s="13">
        <f>IFERROR(__xludf.DUMMYFUNCTION("""COMPUTED_VALUE"""),45456.0)</f>
        <v>45456</v>
      </c>
      <c r="E1840" s="13">
        <f>IFERROR(__xludf.DUMMYFUNCTION("""COMPUTED_VALUE"""),45785.0)</f>
        <v>45785</v>
      </c>
      <c r="F1840" s="13">
        <f>IFERROR(__xludf.DUMMYFUNCTION("""COMPUTED_VALUE"""),45785.0)</f>
        <v>45785</v>
      </c>
      <c r="G1840" s="12"/>
      <c r="H1840" s="12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</row>
    <row r="1841">
      <c r="A1841" s="11" t="str">
        <f>IFERROR(__xludf.DUMMYFUNCTION("""COMPUTED_VALUE"""),"Expeditors International (Wa)  Com")</f>
        <v>Expeditors International (Wa)  Com</v>
      </c>
      <c r="B1841" s="12" t="str">
        <f>IFERROR(__xludf.DUMMYFUNCTION("""COMPUTED_VALUE"""),"EXPD-US")</f>
        <v>EXPD-US</v>
      </c>
      <c r="C1841" s="12"/>
      <c r="D1841" s="13">
        <f>IFERROR(__xludf.DUMMYFUNCTION("""COMPUTED_VALUE"""),45456.0)</f>
        <v>45456</v>
      </c>
      <c r="E1841" s="13">
        <f>IFERROR(__xludf.DUMMYFUNCTION("""COMPUTED_VALUE"""),45783.0)</f>
        <v>45783</v>
      </c>
      <c r="F1841" s="13">
        <f>IFERROR(__xludf.DUMMYFUNCTION("""COMPUTED_VALUE"""),45783.0)</f>
        <v>45783</v>
      </c>
      <c r="G1841" s="12"/>
      <c r="H1841" s="12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</row>
    <row r="1842">
      <c r="A1842" s="11" t="str">
        <f>IFERROR(__xludf.DUMMYFUNCTION("""COMPUTED_VALUE"""),"Baxter International Inc  Com")</f>
        <v>Baxter International Inc  Com</v>
      </c>
      <c r="B1842" s="12" t="str">
        <f>IFERROR(__xludf.DUMMYFUNCTION("""COMPUTED_VALUE"""),"BAX-US")</f>
        <v>BAX-US</v>
      </c>
      <c r="C1842" s="12"/>
      <c r="D1842" s="13">
        <f>IFERROR(__xludf.DUMMYFUNCTION("""COMPUTED_VALUE"""),45456.0)</f>
        <v>45456</v>
      </c>
      <c r="E1842" s="13">
        <f>IFERROR(__xludf.DUMMYFUNCTION("""COMPUTED_VALUE"""),45783.0)</f>
        <v>45783</v>
      </c>
      <c r="F1842" s="13">
        <f>IFERROR(__xludf.DUMMYFUNCTION("""COMPUTED_VALUE"""),45783.0)</f>
        <v>45783</v>
      </c>
      <c r="G1842" s="12"/>
      <c r="H1842" s="12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</row>
    <row r="1843">
      <c r="A1843" s="11" t="str">
        <f>IFERROR(__xludf.DUMMYFUNCTION("""COMPUTED_VALUE"""),"Kimco Realty Corp  Com")</f>
        <v>Kimco Realty Corp  Com</v>
      </c>
      <c r="B1843" s="12" t="str">
        <f>IFERROR(__xludf.DUMMYFUNCTION("""COMPUTED_VALUE"""),"KIM-US")</f>
        <v>KIM-US</v>
      </c>
      <c r="C1843" s="12"/>
      <c r="D1843" s="13">
        <f>IFERROR(__xludf.DUMMYFUNCTION("""COMPUTED_VALUE"""),45456.0)</f>
        <v>45456</v>
      </c>
      <c r="E1843" s="13">
        <f>IFERROR(__xludf.DUMMYFUNCTION("""COMPUTED_VALUE"""),45776.0)</f>
        <v>45776</v>
      </c>
      <c r="F1843" s="13">
        <f>IFERROR(__xludf.DUMMYFUNCTION("""COMPUTED_VALUE"""),45776.0)</f>
        <v>45776</v>
      </c>
      <c r="G1843" s="12"/>
      <c r="H1843" s="12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</row>
    <row r="1844">
      <c r="A1844" s="11" t="str">
        <f>IFERROR(__xludf.DUMMYFUNCTION("""COMPUTED_VALUE"""),"Evergy Inc  Com")</f>
        <v>Evergy Inc  Com</v>
      </c>
      <c r="B1844" s="12" t="str">
        <f>IFERROR(__xludf.DUMMYFUNCTION("""COMPUTED_VALUE"""),"EVRG-US")</f>
        <v>EVRG-US</v>
      </c>
      <c r="C1844" s="12"/>
      <c r="D1844" s="13">
        <f>IFERROR(__xludf.DUMMYFUNCTION("""COMPUTED_VALUE"""),45456.0)</f>
        <v>45456</v>
      </c>
      <c r="E1844" s="13">
        <f>IFERROR(__xludf.DUMMYFUNCTION("""COMPUTED_VALUE"""),45783.0)</f>
        <v>45783</v>
      </c>
      <c r="F1844" s="13">
        <f>IFERROR(__xludf.DUMMYFUNCTION("""COMPUTED_VALUE"""),45783.0)</f>
        <v>45783</v>
      </c>
      <c r="G1844" s="12"/>
      <c r="H1844" s="12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</row>
    <row r="1845">
      <c r="A1845" s="11" t="str">
        <f>IFERROR(__xludf.DUMMYFUNCTION("""COMPUTED_VALUE"""),"Service Corp International  Com")</f>
        <v>Service Corp International  Com</v>
      </c>
      <c r="B1845" s="12" t="str">
        <f>IFERROR(__xludf.DUMMYFUNCTION("""COMPUTED_VALUE"""),"SCI-US")</f>
        <v>SCI-US</v>
      </c>
      <c r="C1845" s="12"/>
      <c r="D1845" s="13">
        <f>IFERROR(__xludf.DUMMYFUNCTION("""COMPUTED_VALUE"""),45456.0)</f>
        <v>45456</v>
      </c>
      <c r="E1845" s="13">
        <f>IFERROR(__xludf.DUMMYFUNCTION("""COMPUTED_VALUE"""),45783.0)</f>
        <v>45783</v>
      </c>
      <c r="F1845" s="13">
        <f>IFERROR(__xludf.DUMMYFUNCTION("""COMPUTED_VALUE"""),45783.0)</f>
        <v>45783</v>
      </c>
      <c r="G1845" s="12"/>
      <c r="H1845" s="12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</row>
    <row r="1846">
      <c r="A1846" s="11" t="str">
        <f>IFERROR(__xludf.DUMMYFUNCTION("""COMPUTED_VALUE"""),"Albemarle Corp  Com")</f>
        <v>Albemarle Corp  Com</v>
      </c>
      <c r="B1846" s="12" t="str">
        <f>IFERROR(__xludf.DUMMYFUNCTION("""COMPUTED_VALUE"""),"ALB-US")</f>
        <v>ALB-US</v>
      </c>
      <c r="C1846" s="12"/>
      <c r="D1846" s="13">
        <f>IFERROR(__xludf.DUMMYFUNCTION("""COMPUTED_VALUE"""),45456.0)</f>
        <v>45456</v>
      </c>
      <c r="E1846" s="13">
        <f>IFERROR(__xludf.DUMMYFUNCTION("""COMPUTED_VALUE"""),45783.0)</f>
        <v>45783</v>
      </c>
      <c r="F1846" s="13">
        <f>IFERROR(__xludf.DUMMYFUNCTION("""COMPUTED_VALUE"""),45783.0)</f>
        <v>45783</v>
      </c>
      <c r="G1846" s="12"/>
      <c r="H1846" s="12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</row>
    <row r="1847">
      <c r="A1847" s="11" t="str">
        <f>IFERROR(__xludf.DUMMYFUNCTION("""COMPUTED_VALUE"""),"Lkq Corp  Com")</f>
        <v>Lkq Corp  Com</v>
      </c>
      <c r="B1847" s="12" t="str">
        <f>IFERROR(__xludf.DUMMYFUNCTION("""COMPUTED_VALUE"""),"LKQ-US")</f>
        <v>LKQ-US</v>
      </c>
      <c r="C1847" s="12"/>
      <c r="D1847" s="13">
        <f>IFERROR(__xludf.DUMMYFUNCTION("""COMPUTED_VALUE"""),45456.0)</f>
        <v>45456</v>
      </c>
      <c r="E1847" s="13">
        <f>IFERROR(__xludf.DUMMYFUNCTION("""COMPUTED_VALUE"""),45784.0)</f>
        <v>45784</v>
      </c>
      <c r="F1847" s="13">
        <f>IFERROR(__xludf.DUMMYFUNCTION("""COMPUTED_VALUE"""),45784.0)</f>
        <v>45784</v>
      </c>
      <c r="G1847" s="12"/>
      <c r="H1847" s="12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</row>
    <row r="1848">
      <c r="A1848" s="11" t="str">
        <f>IFERROR(__xludf.DUMMYFUNCTION("""COMPUTED_VALUE"""),"Ally Financial Inc  Com")</f>
        <v>Ally Financial Inc  Com</v>
      </c>
      <c r="B1848" s="12" t="str">
        <f>IFERROR(__xludf.DUMMYFUNCTION("""COMPUTED_VALUE"""),"ALLY-US")</f>
        <v>ALLY-US</v>
      </c>
      <c r="C1848" s="12"/>
      <c r="D1848" s="13">
        <f>IFERROR(__xludf.DUMMYFUNCTION("""COMPUTED_VALUE"""),45456.0)</f>
        <v>45456</v>
      </c>
      <c r="E1848" s="13">
        <f>IFERROR(__xludf.DUMMYFUNCTION("""COMPUTED_VALUE"""),45783.0)</f>
        <v>45783</v>
      </c>
      <c r="F1848" s="13">
        <f>IFERROR(__xludf.DUMMYFUNCTION("""COMPUTED_VALUE"""),45783.0)</f>
        <v>45783</v>
      </c>
      <c r="G1848" s="12"/>
      <c r="H1848" s="12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</row>
    <row r="1849">
      <c r="A1849" s="11" t="str">
        <f>IFERROR(__xludf.DUMMYFUNCTION("""COMPUTED_VALUE"""),"Fortune Brands Innovations Inc  Com")</f>
        <v>Fortune Brands Innovations Inc  Com</v>
      </c>
      <c r="B1849" s="12" t="str">
        <f>IFERROR(__xludf.DUMMYFUNCTION("""COMPUTED_VALUE"""),"FBIN-US")</f>
        <v>FBIN-US</v>
      </c>
      <c r="C1849" s="12"/>
      <c r="D1849" s="13">
        <f>IFERROR(__xludf.DUMMYFUNCTION("""COMPUTED_VALUE"""),45456.0)</f>
        <v>45456</v>
      </c>
      <c r="E1849" s="13">
        <f>IFERROR(__xludf.DUMMYFUNCTION("""COMPUTED_VALUE"""),45791.0)</f>
        <v>45791</v>
      </c>
      <c r="F1849" s="13">
        <f>IFERROR(__xludf.DUMMYFUNCTION("""COMPUTED_VALUE"""),45791.0)</f>
        <v>45791</v>
      </c>
      <c r="G1849" s="12"/>
      <c r="H1849" s="12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</row>
    <row r="1850">
      <c r="A1850" s="11" t="str">
        <f>IFERROR(__xludf.DUMMYFUNCTION("""COMPUTED_VALUE"""),"Mks Instruments Inc  Com")</f>
        <v>Mks Instruments Inc  Com</v>
      </c>
      <c r="B1850" s="12" t="str">
        <f>IFERROR(__xludf.DUMMYFUNCTION("""COMPUTED_VALUE"""),"MKSI-US")</f>
        <v>MKSI-US</v>
      </c>
      <c r="C1850" s="12"/>
      <c r="D1850" s="13">
        <f>IFERROR(__xludf.DUMMYFUNCTION("""COMPUTED_VALUE"""),45456.0)</f>
        <v>45456</v>
      </c>
      <c r="E1850" s="13">
        <f>IFERROR(__xludf.DUMMYFUNCTION("""COMPUTED_VALUE"""),45789.0)</f>
        <v>45789</v>
      </c>
      <c r="F1850" s="13">
        <f>IFERROR(__xludf.DUMMYFUNCTION("""COMPUTED_VALUE"""),45789.0)</f>
        <v>45789</v>
      </c>
      <c r="G1850" s="12"/>
      <c r="H1850" s="12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</row>
    <row r="1851">
      <c r="A1851" s="11" t="str">
        <f>IFERROR(__xludf.DUMMYFUNCTION("""COMPUTED_VALUE"""),"Trex Inc  Com")</f>
        <v>Trex Inc  Com</v>
      </c>
      <c r="B1851" s="12" t="str">
        <f>IFERROR(__xludf.DUMMYFUNCTION("""COMPUTED_VALUE"""),"TREX-US")</f>
        <v>TREX-US</v>
      </c>
      <c r="C1851" s="12"/>
      <c r="D1851" s="13">
        <f>IFERROR(__xludf.DUMMYFUNCTION("""COMPUTED_VALUE"""),45456.0)</f>
        <v>45456</v>
      </c>
      <c r="E1851" s="13">
        <f>IFERROR(__xludf.DUMMYFUNCTION("""COMPUTED_VALUE"""),45783.0)</f>
        <v>45783</v>
      </c>
      <c r="F1851" s="13">
        <f>IFERROR(__xludf.DUMMYFUNCTION("""COMPUTED_VALUE"""),45783.0)</f>
        <v>45783</v>
      </c>
      <c r="G1851" s="12"/>
      <c r="H1851" s="12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</row>
    <row r="1852">
      <c r="A1852" s="11" t="str">
        <f>IFERROR(__xludf.DUMMYFUNCTION("""COMPUTED_VALUE"""),"Oshkosh Corp  Com")</f>
        <v>Oshkosh Corp  Com</v>
      </c>
      <c r="B1852" s="12" t="str">
        <f>IFERROR(__xludf.DUMMYFUNCTION("""COMPUTED_VALUE"""),"OSK-US")</f>
        <v>OSK-US</v>
      </c>
      <c r="C1852" s="12"/>
      <c r="D1852" s="13">
        <f>IFERROR(__xludf.DUMMYFUNCTION("""COMPUTED_VALUE"""),45456.0)</f>
        <v>45456</v>
      </c>
      <c r="E1852" s="13">
        <f>IFERROR(__xludf.DUMMYFUNCTION("""COMPUTED_VALUE"""),45783.0)</f>
        <v>45783</v>
      </c>
      <c r="F1852" s="13">
        <f>IFERROR(__xludf.DUMMYFUNCTION("""COMPUTED_VALUE"""),45783.0)</f>
        <v>45783</v>
      </c>
      <c r="G1852" s="12"/>
      <c r="H1852" s="12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</row>
    <row r="1853">
      <c r="A1853" s="11" t="str">
        <f>IFERROR(__xludf.DUMMYFUNCTION("""COMPUTED_VALUE"""),"Arrow Electronics Inc  Com")</f>
        <v>Arrow Electronics Inc  Com</v>
      </c>
      <c r="B1853" s="12" t="str">
        <f>IFERROR(__xludf.DUMMYFUNCTION("""COMPUTED_VALUE"""),"ARW-US")</f>
        <v>ARW-US</v>
      </c>
      <c r="C1853" s="12"/>
      <c r="D1853" s="13">
        <f>IFERROR(__xludf.DUMMYFUNCTION("""COMPUTED_VALUE"""),45456.0)</f>
        <v>45456</v>
      </c>
      <c r="E1853" s="13">
        <f>IFERROR(__xludf.DUMMYFUNCTION("""COMPUTED_VALUE"""),45783.0)</f>
        <v>45783</v>
      </c>
      <c r="F1853" s="13">
        <f>IFERROR(__xludf.DUMMYFUNCTION("""COMPUTED_VALUE"""),45783.0)</f>
        <v>45783</v>
      </c>
      <c r="G1853" s="12"/>
      <c r="H1853" s="12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</row>
    <row r="1854">
      <c r="A1854" s="11" t="str">
        <f>IFERROR(__xludf.DUMMYFUNCTION("""COMPUTED_VALUE"""),"Siteone Landscape Supply Inc  Com")</f>
        <v>Siteone Landscape Supply Inc  Com</v>
      </c>
      <c r="B1854" s="12" t="str">
        <f>IFERROR(__xludf.DUMMYFUNCTION("""COMPUTED_VALUE"""),"SITE-US")</f>
        <v>SITE-US</v>
      </c>
      <c r="C1854" s="12"/>
      <c r="D1854" s="13">
        <f>IFERROR(__xludf.DUMMYFUNCTION("""COMPUTED_VALUE"""),45456.0)</f>
        <v>45456</v>
      </c>
      <c r="E1854" s="13">
        <f>IFERROR(__xludf.DUMMYFUNCTION("""COMPUTED_VALUE"""),45791.0)</f>
        <v>45791</v>
      </c>
      <c r="F1854" s="13">
        <f>IFERROR(__xludf.DUMMYFUNCTION("""COMPUTED_VALUE"""),45791.0)</f>
        <v>45791</v>
      </c>
      <c r="G1854" s="12"/>
      <c r="H1854" s="12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</row>
    <row r="1855">
      <c r="A1855" s="11" t="str">
        <f>IFERROR(__xludf.DUMMYFUNCTION("""COMPUTED_VALUE"""),"Landstar Systems Inc  Com")</f>
        <v>Landstar Systems Inc  Com</v>
      </c>
      <c r="B1855" s="12" t="str">
        <f>IFERROR(__xludf.DUMMYFUNCTION("""COMPUTED_VALUE"""),"LSTR-US")</f>
        <v>LSTR-US</v>
      </c>
      <c r="C1855" s="12"/>
      <c r="D1855" s="13">
        <f>IFERROR(__xludf.DUMMYFUNCTION("""COMPUTED_VALUE"""),45456.0)</f>
        <v>45456</v>
      </c>
      <c r="E1855" s="13">
        <f>IFERROR(__xludf.DUMMYFUNCTION("""COMPUTED_VALUE"""),45793.0)</f>
        <v>45793</v>
      </c>
      <c r="F1855" s="13">
        <f>IFERROR(__xludf.DUMMYFUNCTION("""COMPUTED_VALUE"""),45793.0)</f>
        <v>45793</v>
      </c>
      <c r="G1855" s="12"/>
      <c r="H1855" s="12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</row>
    <row r="1856">
      <c r="A1856" s="11" t="str">
        <f>IFERROR(__xludf.DUMMYFUNCTION("""COMPUTED_VALUE"""),"Terreno Realty Corp  Com")</f>
        <v>Terreno Realty Corp  Com</v>
      </c>
      <c r="B1856" s="12" t="str">
        <f>IFERROR(__xludf.DUMMYFUNCTION("""COMPUTED_VALUE"""),"TRNO-US")</f>
        <v>TRNO-US</v>
      </c>
      <c r="C1856" s="12"/>
      <c r="D1856" s="13">
        <f>IFERROR(__xludf.DUMMYFUNCTION("""COMPUTED_VALUE"""),45456.0)</f>
        <v>45456</v>
      </c>
      <c r="E1856" s="13">
        <f>IFERROR(__xludf.DUMMYFUNCTION("""COMPUTED_VALUE"""),45783.0)</f>
        <v>45783</v>
      </c>
      <c r="F1856" s="13">
        <f>IFERROR(__xludf.DUMMYFUNCTION("""COMPUTED_VALUE"""),45783.0)</f>
        <v>45783</v>
      </c>
      <c r="G1856" s="12"/>
      <c r="H1856" s="12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</row>
    <row r="1857">
      <c r="A1857" s="11" t="str">
        <f>IFERROR(__xludf.DUMMYFUNCTION("""COMPUTED_VALUE"""),"Darling Ingredients Inc  Com")</f>
        <v>Darling Ingredients Inc  Com</v>
      </c>
      <c r="B1857" s="12" t="str">
        <f>IFERROR(__xludf.DUMMYFUNCTION("""COMPUTED_VALUE"""),"DAR-US")</f>
        <v>DAR-US</v>
      </c>
      <c r="C1857" s="12"/>
      <c r="D1857" s="13">
        <f>IFERROR(__xludf.DUMMYFUNCTION("""COMPUTED_VALUE"""),45456.0)</f>
        <v>45456</v>
      </c>
      <c r="E1857" s="13">
        <f>IFERROR(__xludf.DUMMYFUNCTION("""COMPUTED_VALUE"""),45784.0)</f>
        <v>45784</v>
      </c>
      <c r="F1857" s="13">
        <f>IFERROR(__xludf.DUMMYFUNCTION("""COMPUTED_VALUE"""),45784.0)</f>
        <v>45784</v>
      </c>
      <c r="G1857" s="12"/>
      <c r="H1857" s="12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</row>
    <row r="1858">
      <c r="A1858" s="11" t="str">
        <f>IFERROR(__xludf.DUMMYFUNCTION("""COMPUTED_VALUE"""),"Bloom Energy Corp  Cl A")</f>
        <v>Bloom Energy Corp  Cl A</v>
      </c>
      <c r="B1858" s="12" t="str">
        <f>IFERROR(__xludf.DUMMYFUNCTION("""COMPUTED_VALUE"""),"BE-US")</f>
        <v>BE-US</v>
      </c>
      <c r="C1858" s="12"/>
      <c r="D1858" s="13">
        <f>IFERROR(__xludf.DUMMYFUNCTION("""COMPUTED_VALUE"""),45456.0)</f>
        <v>45456</v>
      </c>
      <c r="E1858" s="13">
        <f>IFERROR(__xludf.DUMMYFUNCTION("""COMPUTED_VALUE"""),45791.0)</f>
        <v>45791</v>
      </c>
      <c r="F1858" s="13">
        <f>IFERROR(__xludf.DUMMYFUNCTION("""COMPUTED_VALUE"""),45791.0)</f>
        <v>45791</v>
      </c>
      <c r="G1858" s="12"/>
      <c r="H1858" s="12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</row>
    <row r="1859">
      <c r="A1859" s="11" t="str">
        <f>IFERROR(__xludf.DUMMYFUNCTION("""COMPUTED_VALUE"""),"Gap Inc  Com")</f>
        <v>Gap Inc  Com</v>
      </c>
      <c r="B1859" s="12" t="str">
        <f>IFERROR(__xludf.DUMMYFUNCTION("""COMPUTED_VALUE"""),"GAP-US")</f>
        <v>GAP-US</v>
      </c>
      <c r="C1859" s="12"/>
      <c r="D1859" s="13">
        <f>IFERROR(__xludf.DUMMYFUNCTION("""COMPUTED_VALUE"""),45456.0)</f>
        <v>45456</v>
      </c>
      <c r="E1859" s="13">
        <f>IFERROR(__xludf.DUMMYFUNCTION("""COMPUTED_VALUE"""),45798.0)</f>
        <v>45798</v>
      </c>
      <c r="F1859" s="13">
        <f>IFERROR(__xludf.DUMMYFUNCTION("""COMPUTED_VALUE"""),45798.0)</f>
        <v>45798</v>
      </c>
      <c r="G1859" s="12"/>
      <c r="H1859" s="12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</row>
    <row r="1860">
      <c r="A1860" s="11" t="str">
        <f>IFERROR(__xludf.DUMMYFUNCTION("""COMPUTED_VALUE"""),"Magnolia Oil &amp; Gas Corp  Cl A")</f>
        <v>Magnolia Oil &amp; Gas Corp  Cl A</v>
      </c>
      <c r="B1860" s="12" t="str">
        <f>IFERROR(__xludf.DUMMYFUNCTION("""COMPUTED_VALUE"""),"MGY-US")</f>
        <v>MGY-US</v>
      </c>
      <c r="C1860" s="12"/>
      <c r="D1860" s="13">
        <f>IFERROR(__xludf.DUMMYFUNCTION("""COMPUTED_VALUE"""),45456.0)</f>
        <v>45456</v>
      </c>
      <c r="E1860" s="13">
        <f>IFERROR(__xludf.DUMMYFUNCTION("""COMPUTED_VALUE"""),45784.0)</f>
        <v>45784</v>
      </c>
      <c r="F1860" s="13">
        <f>IFERROR(__xludf.DUMMYFUNCTION("""COMPUTED_VALUE"""),45784.0)</f>
        <v>45784</v>
      </c>
      <c r="G1860" s="12"/>
      <c r="H1860" s="12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</row>
    <row r="1861">
      <c r="A1861" s="11" t="str">
        <f>IFERROR(__xludf.DUMMYFUNCTION("""COMPUTED_VALUE"""),"Yeti Holdings Inc  Com")</f>
        <v>Yeti Holdings Inc  Com</v>
      </c>
      <c r="B1861" s="12" t="str">
        <f>IFERROR(__xludf.DUMMYFUNCTION("""COMPUTED_VALUE"""),"YETI-US")</f>
        <v>YETI-US</v>
      </c>
      <c r="C1861" s="12"/>
      <c r="D1861" s="13">
        <f>IFERROR(__xludf.DUMMYFUNCTION("""COMPUTED_VALUE"""),45456.0)</f>
        <v>45456</v>
      </c>
      <c r="E1861" s="13">
        <f>IFERROR(__xludf.DUMMYFUNCTION("""COMPUTED_VALUE"""),45778.0)</f>
        <v>45778</v>
      </c>
      <c r="F1861" s="13">
        <f>IFERROR(__xludf.DUMMYFUNCTION("""COMPUTED_VALUE"""),45778.0)</f>
        <v>45778</v>
      </c>
      <c r="G1861" s="12"/>
      <c r="H1861" s="12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</row>
    <row r="1862">
      <c r="A1862" s="11" t="str">
        <f>IFERROR(__xludf.DUMMYFUNCTION("""COMPUTED_VALUE"""),"Atlantic Union Bankshares Corp  Com")</f>
        <v>Atlantic Union Bankshares Corp  Com</v>
      </c>
      <c r="B1862" s="12" t="str">
        <f>IFERROR(__xludf.DUMMYFUNCTION("""COMPUTED_VALUE"""),"AUB-US")</f>
        <v>AUB-US</v>
      </c>
      <c r="C1862" s="12"/>
      <c r="D1862" s="13">
        <f>IFERROR(__xludf.DUMMYFUNCTION("""COMPUTED_VALUE"""),45456.0)</f>
        <v>45456</v>
      </c>
      <c r="E1862" s="13">
        <f>IFERROR(__xludf.DUMMYFUNCTION("""COMPUTED_VALUE"""),45783.0)</f>
        <v>45783</v>
      </c>
      <c r="F1862" s="13">
        <f>IFERROR(__xludf.DUMMYFUNCTION("""COMPUTED_VALUE"""),45783.0)</f>
        <v>45783</v>
      </c>
      <c r="G1862" s="12"/>
      <c r="H1862" s="12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</row>
    <row r="1863">
      <c r="A1863" s="11" t="str">
        <f>IFERROR(__xludf.DUMMYFUNCTION("""COMPUTED_VALUE"""),"Graham Holdings Co  Cl B")</f>
        <v>Graham Holdings Co  Cl B</v>
      </c>
      <c r="B1863" s="12" t="str">
        <f>IFERROR(__xludf.DUMMYFUNCTION("""COMPUTED_VALUE"""),"GHC-US")</f>
        <v>GHC-US</v>
      </c>
      <c r="C1863" s="12"/>
      <c r="D1863" s="13">
        <f>IFERROR(__xludf.DUMMYFUNCTION("""COMPUTED_VALUE"""),45456.0)</f>
        <v>45456</v>
      </c>
      <c r="E1863" s="13">
        <f>IFERROR(__xludf.DUMMYFUNCTION("""COMPUTED_VALUE"""),45783.0)</f>
        <v>45783</v>
      </c>
      <c r="F1863" s="13">
        <f>IFERROR(__xludf.DUMMYFUNCTION("""COMPUTED_VALUE"""),45783.0)</f>
        <v>45783</v>
      </c>
      <c r="G1863" s="12"/>
      <c r="H1863" s="12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</row>
    <row r="1864">
      <c r="A1864" s="11" t="str">
        <f>IFERROR(__xludf.DUMMYFUNCTION("""COMPUTED_VALUE"""),"Ziff Davis Inc  Com")</f>
        <v>Ziff Davis Inc  Com</v>
      </c>
      <c r="B1864" s="12" t="str">
        <f>IFERROR(__xludf.DUMMYFUNCTION("""COMPUTED_VALUE"""),"ZD-US")</f>
        <v>ZD-US</v>
      </c>
      <c r="C1864" s="12"/>
      <c r="D1864" s="13">
        <f>IFERROR(__xludf.DUMMYFUNCTION("""COMPUTED_VALUE"""),45456.0)</f>
        <v>45456</v>
      </c>
      <c r="E1864" s="13">
        <f>IFERROR(__xludf.DUMMYFUNCTION("""COMPUTED_VALUE"""),45784.0)</f>
        <v>45784</v>
      </c>
      <c r="F1864" s="13">
        <f>IFERROR(__xludf.DUMMYFUNCTION("""COMPUTED_VALUE"""),45784.0)</f>
        <v>45784</v>
      </c>
      <c r="G1864" s="12"/>
      <c r="H1864" s="12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</row>
    <row r="1865">
      <c r="A1865" s="11" t="str">
        <f>IFERROR(__xludf.DUMMYFUNCTION("""COMPUTED_VALUE"""),"Boston Beer Inc  Cl A")</f>
        <v>Boston Beer Inc  Cl A</v>
      </c>
      <c r="B1865" s="12" t="str">
        <f>IFERROR(__xludf.DUMMYFUNCTION("""COMPUTED_VALUE"""),"SAM-US")</f>
        <v>SAM-US</v>
      </c>
      <c r="C1865" s="12"/>
      <c r="D1865" s="13">
        <f>IFERROR(__xludf.DUMMYFUNCTION("""COMPUTED_VALUE"""),45456.0)</f>
        <v>45456</v>
      </c>
      <c r="E1865" s="13">
        <f>IFERROR(__xludf.DUMMYFUNCTION("""COMPUTED_VALUE"""),45791.0)</f>
        <v>45791</v>
      </c>
      <c r="F1865" s="13">
        <f>IFERROR(__xludf.DUMMYFUNCTION("""COMPUTED_VALUE"""),45791.0)</f>
        <v>45791</v>
      </c>
      <c r="G1865" s="12"/>
      <c r="H1865" s="12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</row>
    <row r="1866">
      <c r="A1866" s="11" t="str">
        <f>IFERROR(__xludf.DUMMYFUNCTION("""COMPUTED_VALUE"""),"Avepoint Inc  Cl A")</f>
        <v>Avepoint Inc  Cl A</v>
      </c>
      <c r="B1866" s="12" t="str">
        <f>IFERROR(__xludf.DUMMYFUNCTION("""COMPUTED_VALUE"""),"AVPT-US")</f>
        <v>AVPT-US</v>
      </c>
      <c r="C1866" s="12"/>
      <c r="D1866" s="13">
        <f>IFERROR(__xludf.DUMMYFUNCTION("""COMPUTED_VALUE"""),45456.0)</f>
        <v>45456</v>
      </c>
      <c r="E1866" s="13">
        <f>IFERROR(__xludf.DUMMYFUNCTION("""COMPUTED_VALUE"""),45783.0)</f>
        <v>45783</v>
      </c>
      <c r="F1866" s="13">
        <f>IFERROR(__xludf.DUMMYFUNCTION("""COMPUTED_VALUE"""),45783.0)</f>
        <v>45783</v>
      </c>
      <c r="G1866" s="12"/>
      <c r="H1866" s="12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</row>
    <row r="1867">
      <c r="A1867" s="11" t="str">
        <f>IFERROR(__xludf.DUMMYFUNCTION("""COMPUTED_VALUE"""),"Clarivate Plc  Com")</f>
        <v>Clarivate Plc  Com</v>
      </c>
      <c r="B1867" s="12" t="str">
        <f>IFERROR(__xludf.DUMMYFUNCTION("""COMPUTED_VALUE"""),"CLVT-US")</f>
        <v>CLVT-US</v>
      </c>
      <c r="C1867" s="12"/>
      <c r="D1867" s="13">
        <f>IFERROR(__xludf.DUMMYFUNCTION("""COMPUTED_VALUE"""),45456.0)</f>
        <v>45456</v>
      </c>
      <c r="E1867" s="13">
        <f>IFERROR(__xludf.DUMMYFUNCTION("""COMPUTED_VALUE"""),45750.0)</f>
        <v>45750</v>
      </c>
      <c r="F1867" s="13">
        <f>IFERROR(__xludf.DUMMYFUNCTION("""COMPUTED_VALUE"""),45750.0)</f>
        <v>45750</v>
      </c>
      <c r="G1867" s="12"/>
      <c r="H1867" s="12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</row>
    <row r="1868">
      <c r="A1868" s="11" t="str">
        <f>IFERROR(__xludf.DUMMYFUNCTION("""COMPUTED_VALUE"""),"First Merchants Corp  Com")</f>
        <v>First Merchants Corp  Com</v>
      </c>
      <c r="B1868" s="12" t="str">
        <f>IFERROR(__xludf.DUMMYFUNCTION("""COMPUTED_VALUE"""),"FRME-US")</f>
        <v>FRME-US</v>
      </c>
      <c r="C1868" s="12"/>
      <c r="D1868" s="13">
        <f>IFERROR(__xludf.DUMMYFUNCTION("""COMPUTED_VALUE"""),45456.0)</f>
        <v>45456</v>
      </c>
      <c r="E1868" s="13">
        <f>IFERROR(__xludf.DUMMYFUNCTION("""COMPUTED_VALUE"""),45793.0)</f>
        <v>45793</v>
      </c>
      <c r="F1868" s="13">
        <f>IFERROR(__xludf.DUMMYFUNCTION("""COMPUTED_VALUE"""),45793.0)</f>
        <v>45793</v>
      </c>
      <c r="G1868" s="12"/>
      <c r="H1868" s="12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</row>
    <row r="1869">
      <c r="A1869" s="11" t="str">
        <f>IFERROR(__xludf.DUMMYFUNCTION("""COMPUTED_VALUE"""),"Inventrust Properties Corp  Com")</f>
        <v>Inventrust Properties Corp  Com</v>
      </c>
      <c r="B1869" s="12" t="str">
        <f>IFERROR(__xludf.DUMMYFUNCTION("""COMPUTED_VALUE"""),"IVT-US")</f>
        <v>IVT-US</v>
      </c>
      <c r="C1869" s="12"/>
      <c r="D1869" s="13">
        <f>IFERROR(__xludf.DUMMYFUNCTION("""COMPUTED_VALUE"""),45456.0)</f>
        <v>45456</v>
      </c>
      <c r="E1869" s="13">
        <f>IFERROR(__xludf.DUMMYFUNCTION("""COMPUTED_VALUE"""),45783.0)</f>
        <v>45783</v>
      </c>
      <c r="F1869" s="13">
        <f>IFERROR(__xludf.DUMMYFUNCTION("""COMPUTED_VALUE"""),45783.0)</f>
        <v>45783</v>
      </c>
      <c r="G1869" s="12"/>
      <c r="H1869" s="12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</row>
    <row r="1870">
      <c r="A1870" s="11" t="str">
        <f>IFERROR(__xludf.DUMMYFUNCTION("""COMPUTED_VALUE"""),"Mrc Global Inc  Com")</f>
        <v>Mrc Global Inc  Com</v>
      </c>
      <c r="B1870" s="12" t="str">
        <f>IFERROR(__xludf.DUMMYFUNCTION("""COMPUTED_VALUE"""),"MRC-US")</f>
        <v>MRC-US</v>
      </c>
      <c r="C1870" s="12"/>
      <c r="D1870" s="13">
        <f>IFERROR(__xludf.DUMMYFUNCTION("""COMPUTED_VALUE"""),45456.0)</f>
        <v>45456</v>
      </c>
      <c r="E1870" s="13">
        <f>IFERROR(__xludf.DUMMYFUNCTION("""COMPUTED_VALUE"""),45806.0)</f>
        <v>45806</v>
      </c>
      <c r="F1870" s="13">
        <f>IFERROR(__xludf.DUMMYFUNCTION("""COMPUTED_VALUE"""),45806.0)</f>
        <v>45806</v>
      </c>
      <c r="G1870" s="12"/>
      <c r="H1870" s="12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</row>
    <row r="1871">
      <c r="A1871" s="11" t="str">
        <f>IFERROR(__xludf.DUMMYFUNCTION("""COMPUTED_VALUE"""),"Piedmont Office Realty Trust  Cl A")</f>
        <v>Piedmont Office Realty Trust  Cl A</v>
      </c>
      <c r="B1871" s="12" t="str">
        <f>IFERROR(__xludf.DUMMYFUNCTION("""COMPUTED_VALUE"""),"PDM-US")</f>
        <v>PDM-US</v>
      </c>
      <c r="C1871" s="12"/>
      <c r="D1871" s="13">
        <f>IFERROR(__xludf.DUMMYFUNCTION("""COMPUTED_VALUE"""),45456.0)</f>
        <v>45456</v>
      </c>
      <c r="E1871" s="13">
        <f>IFERROR(__xludf.DUMMYFUNCTION("""COMPUTED_VALUE"""),45792.0)</f>
        <v>45792</v>
      </c>
      <c r="F1871" s="13">
        <f>IFERROR(__xludf.DUMMYFUNCTION("""COMPUTED_VALUE"""),45792.0)</f>
        <v>45792</v>
      </c>
      <c r="G1871" s="12"/>
      <c r="H1871" s="12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</row>
    <row r="1872">
      <c r="A1872" s="11" t="str">
        <f>IFERROR(__xludf.DUMMYFUNCTION("""COMPUTED_VALUE"""),"Nexpoint Residential Trust  Com")</f>
        <v>Nexpoint Residential Trust  Com</v>
      </c>
      <c r="B1872" s="12" t="str">
        <f>IFERROR(__xludf.DUMMYFUNCTION("""COMPUTED_VALUE"""),"NXRT-US")</f>
        <v>NXRT-US</v>
      </c>
      <c r="C1872" s="12"/>
      <c r="D1872" s="13">
        <f>IFERROR(__xludf.DUMMYFUNCTION("""COMPUTED_VALUE"""),45456.0)</f>
        <v>45456</v>
      </c>
      <c r="E1872" s="13">
        <f>IFERROR(__xludf.DUMMYFUNCTION("""COMPUTED_VALUE"""),45797.0)</f>
        <v>45797</v>
      </c>
      <c r="F1872" s="13">
        <f>IFERROR(__xludf.DUMMYFUNCTION("""COMPUTED_VALUE"""),45797.0)</f>
        <v>45797</v>
      </c>
      <c r="G1872" s="12"/>
      <c r="H1872" s="12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</row>
    <row r="1873">
      <c r="A1873" s="11" t="str">
        <f>IFERROR(__xludf.DUMMYFUNCTION("""COMPUTED_VALUE"""),"Integral Ad Science Hldgs Corp  Com")</f>
        <v>Integral Ad Science Hldgs Corp  Com</v>
      </c>
      <c r="B1873" s="12" t="str">
        <f>IFERROR(__xludf.DUMMYFUNCTION("""COMPUTED_VALUE"""),"IAS-US")</f>
        <v>IAS-US</v>
      </c>
      <c r="C1873" s="12"/>
      <c r="D1873" s="13">
        <f>IFERROR(__xludf.DUMMYFUNCTION("""COMPUTED_VALUE"""),45456.0)</f>
        <v>45456</v>
      </c>
      <c r="E1873" s="13">
        <f>IFERROR(__xludf.DUMMYFUNCTION("""COMPUTED_VALUE"""),45778.0)</f>
        <v>45778</v>
      </c>
      <c r="F1873" s="13">
        <f>IFERROR(__xludf.DUMMYFUNCTION("""COMPUTED_VALUE"""),45778.0)</f>
        <v>45778</v>
      </c>
      <c r="G1873" s="12"/>
      <c r="H1873" s="12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</row>
    <row r="1874">
      <c r="A1874" s="11" t="str">
        <f>IFERROR(__xludf.DUMMYFUNCTION("""COMPUTED_VALUE"""),"Marten Transport Ltd  Com")</f>
        <v>Marten Transport Ltd  Com</v>
      </c>
      <c r="B1874" s="12" t="str">
        <f>IFERROR(__xludf.DUMMYFUNCTION("""COMPUTED_VALUE"""),"MRTN-US")</f>
        <v>MRTN-US</v>
      </c>
      <c r="C1874" s="12"/>
      <c r="D1874" s="13">
        <f>IFERROR(__xludf.DUMMYFUNCTION("""COMPUTED_VALUE"""),45456.0)</f>
        <v>45456</v>
      </c>
      <c r="E1874" s="13">
        <f>IFERROR(__xludf.DUMMYFUNCTION("""COMPUTED_VALUE"""),45783.0)</f>
        <v>45783</v>
      </c>
      <c r="F1874" s="13">
        <f>IFERROR(__xludf.DUMMYFUNCTION("""COMPUTED_VALUE"""),45783.0)</f>
        <v>45783</v>
      </c>
      <c r="G1874" s="12"/>
      <c r="H1874" s="12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</row>
    <row r="1875">
      <c r="A1875" s="11" t="str">
        <f>IFERROR(__xludf.DUMMYFUNCTION("""COMPUTED_VALUE"""),"Montrose Environmental Group  Com")</f>
        <v>Montrose Environmental Group  Com</v>
      </c>
      <c r="B1875" s="12" t="str">
        <f>IFERROR(__xludf.DUMMYFUNCTION("""COMPUTED_VALUE"""),"MEG-US")</f>
        <v>MEG-US</v>
      </c>
      <c r="C1875" s="12"/>
      <c r="D1875" s="13">
        <f>IFERROR(__xludf.DUMMYFUNCTION("""COMPUTED_VALUE"""),45456.0)</f>
        <v>45456</v>
      </c>
      <c r="E1875" s="13">
        <f>IFERROR(__xludf.DUMMYFUNCTION("""COMPUTED_VALUE"""),45783.0)</f>
        <v>45783</v>
      </c>
      <c r="F1875" s="13">
        <f>IFERROR(__xludf.DUMMYFUNCTION("""COMPUTED_VALUE"""),45783.0)</f>
        <v>45783</v>
      </c>
      <c r="G1875" s="12"/>
      <c r="H1875" s="12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</row>
    <row r="1876">
      <c r="A1876" s="11" t="str">
        <f>IFERROR(__xludf.DUMMYFUNCTION("""COMPUTED_VALUE"""),"Enterprise Bancorp Inc  Com")</f>
        <v>Enterprise Bancorp Inc  Com</v>
      </c>
      <c r="B1876" s="12" t="str">
        <f>IFERROR(__xludf.DUMMYFUNCTION("""COMPUTED_VALUE"""),"EBTC-US")</f>
        <v>EBTC-US</v>
      </c>
      <c r="C1876" s="12"/>
      <c r="D1876" s="13">
        <f>IFERROR(__xludf.DUMMYFUNCTION("""COMPUTED_VALUE"""),45456.0)</f>
        <v>45456</v>
      </c>
      <c r="E1876" s="13">
        <f>IFERROR(__xludf.DUMMYFUNCTION("""COMPUTED_VALUE"""),45783.0)</f>
        <v>45783</v>
      </c>
      <c r="F1876" s="13">
        <f>IFERROR(__xludf.DUMMYFUNCTION("""COMPUTED_VALUE"""),45783.0)</f>
        <v>45783</v>
      </c>
      <c r="G1876" s="12"/>
      <c r="H1876" s="12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</row>
    <row r="1877">
      <c r="A1877" s="11" t="str">
        <f>IFERROR(__xludf.DUMMYFUNCTION("""COMPUTED_VALUE"""),"Innovex International Inc  Com")</f>
        <v>Innovex International Inc  Com</v>
      </c>
      <c r="B1877" s="12" t="str">
        <f>IFERROR(__xludf.DUMMYFUNCTION("""COMPUTED_VALUE"""),"INVX-US")</f>
        <v>INVX-US</v>
      </c>
      <c r="C1877" s="12"/>
      <c r="D1877" s="13">
        <f>IFERROR(__xludf.DUMMYFUNCTION("""COMPUTED_VALUE"""),45456.0)</f>
        <v>45456</v>
      </c>
      <c r="E1877" s="13">
        <f>IFERROR(__xludf.DUMMYFUNCTION("""COMPUTED_VALUE"""),45791.0)</f>
        <v>45791</v>
      </c>
      <c r="F1877" s="13">
        <f>IFERROR(__xludf.DUMMYFUNCTION("""COMPUTED_VALUE"""),45791.0)</f>
        <v>45791</v>
      </c>
      <c r="G1877" s="12"/>
      <c r="H1877" s="12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</row>
    <row r="1878">
      <c r="A1878" s="11" t="str">
        <f>IFERROR(__xludf.DUMMYFUNCTION("""COMPUTED_VALUE"""),"Home Bancorp Inc  Com")</f>
        <v>Home Bancorp Inc  Com</v>
      </c>
      <c r="B1878" s="12" t="str">
        <f>IFERROR(__xludf.DUMMYFUNCTION("""COMPUTED_VALUE"""),"HBCP-US")</f>
        <v>HBCP-US</v>
      </c>
      <c r="C1878" s="12"/>
      <c r="D1878" s="13">
        <f>IFERROR(__xludf.DUMMYFUNCTION("""COMPUTED_VALUE"""),45456.0)</f>
        <v>45456</v>
      </c>
      <c r="E1878" s="13">
        <f>IFERROR(__xludf.DUMMYFUNCTION("""COMPUTED_VALUE"""),45790.0)</f>
        <v>45790</v>
      </c>
      <c r="F1878" s="13">
        <f>IFERROR(__xludf.DUMMYFUNCTION("""COMPUTED_VALUE"""),45790.0)</f>
        <v>45790</v>
      </c>
      <c r="G1878" s="12"/>
      <c r="H1878" s="12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</row>
    <row r="1879">
      <c r="A1879" s="11" t="str">
        <f>IFERROR(__xludf.DUMMYFUNCTION("""COMPUTED_VALUE"""),"Community Health Systems Inc  Com")</f>
        <v>Community Health Systems Inc  Com</v>
      </c>
      <c r="B1879" s="12" t="str">
        <f>IFERROR(__xludf.DUMMYFUNCTION("""COMPUTED_VALUE"""),"CYH-US")</f>
        <v>CYH-US</v>
      </c>
      <c r="C1879" s="12"/>
      <c r="D1879" s="13">
        <f>IFERROR(__xludf.DUMMYFUNCTION("""COMPUTED_VALUE"""),45456.0)</f>
        <v>45456</v>
      </c>
      <c r="E1879" s="13">
        <f>IFERROR(__xludf.DUMMYFUNCTION("""COMPUTED_VALUE"""),45790.0)</f>
        <v>45790</v>
      </c>
      <c r="F1879" s="13">
        <f>IFERROR(__xludf.DUMMYFUNCTION("""COMPUTED_VALUE"""),45790.0)</f>
        <v>45790</v>
      </c>
      <c r="G1879" s="12"/>
      <c r="H1879" s="12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</row>
    <row r="1880">
      <c r="A1880" s="11" t="str">
        <f>IFERROR(__xludf.DUMMYFUNCTION("""COMPUTED_VALUE"""),"Acnb Corp  Com")</f>
        <v>Acnb Corp  Com</v>
      </c>
      <c r="B1880" s="12" t="str">
        <f>IFERROR(__xludf.DUMMYFUNCTION("""COMPUTED_VALUE"""),"ACNB-US")</f>
        <v>ACNB-US</v>
      </c>
      <c r="C1880" s="12"/>
      <c r="D1880" s="13">
        <f>IFERROR(__xludf.DUMMYFUNCTION("""COMPUTED_VALUE"""),45456.0)</f>
        <v>45456</v>
      </c>
      <c r="E1880" s="13">
        <f>IFERROR(__xludf.DUMMYFUNCTION("""COMPUTED_VALUE"""),45783.0)</f>
        <v>45783</v>
      </c>
      <c r="F1880" s="13">
        <f>IFERROR(__xludf.DUMMYFUNCTION("""COMPUTED_VALUE"""),45783.0)</f>
        <v>45783</v>
      </c>
      <c r="G1880" s="12"/>
      <c r="H1880" s="12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</row>
    <row r="1881">
      <c r="A1881" s="11" t="str">
        <f>IFERROR(__xludf.DUMMYFUNCTION("""COMPUTED_VALUE"""),"Oil States International Inc  Com")</f>
        <v>Oil States International Inc  Com</v>
      </c>
      <c r="B1881" s="12" t="str">
        <f>IFERROR(__xludf.DUMMYFUNCTION("""COMPUTED_VALUE"""),"OIS-US")</f>
        <v>OIS-US</v>
      </c>
      <c r="C1881" s="12"/>
      <c r="D1881" s="13">
        <f>IFERROR(__xludf.DUMMYFUNCTION("""COMPUTED_VALUE"""),45091.0)</f>
        <v>45091</v>
      </c>
      <c r="E1881" s="13">
        <f>IFERROR(__xludf.DUMMYFUNCTION("""COMPUTED_VALUE"""),45790.0)</f>
        <v>45790</v>
      </c>
      <c r="F1881" s="13">
        <f>IFERROR(__xludf.DUMMYFUNCTION("""COMPUTED_VALUE"""),45790.0)</f>
        <v>45790</v>
      </c>
      <c r="G1881" s="12"/>
      <c r="H1881" s="12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</row>
    <row r="1882">
      <c r="A1882" s="11" t="str">
        <f>IFERROR(__xludf.DUMMYFUNCTION("""COMPUTED_VALUE"""),"Preformed Line Products Co  Com")</f>
        <v>Preformed Line Products Co  Com</v>
      </c>
      <c r="B1882" s="12" t="str">
        <f>IFERROR(__xludf.DUMMYFUNCTION("""COMPUTED_VALUE"""),"PLPC-US")</f>
        <v>PLPC-US</v>
      </c>
      <c r="C1882" s="12"/>
      <c r="D1882" s="13">
        <f>IFERROR(__xludf.DUMMYFUNCTION("""COMPUTED_VALUE"""),45457.0)</f>
        <v>45457</v>
      </c>
      <c r="E1882" s="13">
        <f>IFERROR(__xludf.DUMMYFUNCTION("""COMPUTED_VALUE"""),45790.0)</f>
        <v>45790</v>
      </c>
      <c r="F1882" s="13">
        <f>IFERROR(__xludf.DUMMYFUNCTION("""COMPUTED_VALUE"""),45790.0)</f>
        <v>45790</v>
      </c>
      <c r="G1882" s="12"/>
      <c r="H1882" s="12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</row>
    <row r="1883">
      <c r="A1883" s="11" t="str">
        <f>IFERROR(__xludf.DUMMYFUNCTION("""COMPUTED_VALUE"""),"Fidelity D &amp; D Bancorp Inc  Com")</f>
        <v>Fidelity D &amp; D Bancorp Inc  Com</v>
      </c>
      <c r="B1883" s="12" t="str">
        <f>IFERROR(__xludf.DUMMYFUNCTION("""COMPUTED_VALUE"""),"FDBC-US")</f>
        <v>FDBC-US</v>
      </c>
      <c r="C1883" s="12"/>
      <c r="D1883" s="13">
        <f>IFERROR(__xludf.DUMMYFUNCTION("""COMPUTED_VALUE"""),45457.0)</f>
        <v>45457</v>
      </c>
      <c r="E1883" s="13">
        <f>IFERROR(__xludf.DUMMYFUNCTION("""COMPUTED_VALUE"""),45783.0)</f>
        <v>45783</v>
      </c>
      <c r="F1883" s="13">
        <f>IFERROR(__xludf.DUMMYFUNCTION("""COMPUTED_VALUE"""),45783.0)</f>
        <v>45783</v>
      </c>
      <c r="G1883" s="12"/>
      <c r="H1883" s="12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</row>
    <row r="1884">
      <c r="A1884" s="11" t="str">
        <f>IFERROR(__xludf.DUMMYFUNCTION("""COMPUTED_VALUE"""),"Alerus Financial Corp  Com")</f>
        <v>Alerus Financial Corp  Com</v>
      </c>
      <c r="B1884" s="12" t="str">
        <f>IFERROR(__xludf.DUMMYFUNCTION("""COMPUTED_VALUE"""),"ALRS-US")</f>
        <v>ALRS-US</v>
      </c>
      <c r="C1884" s="12"/>
      <c r="D1884" s="13">
        <f>IFERROR(__xludf.DUMMYFUNCTION("""COMPUTED_VALUE"""),45457.0)</f>
        <v>45457</v>
      </c>
      <c r="E1884" s="13">
        <f>IFERROR(__xludf.DUMMYFUNCTION("""COMPUTED_VALUE"""),45785.0)</f>
        <v>45785</v>
      </c>
      <c r="F1884" s="13">
        <f>IFERROR(__xludf.DUMMYFUNCTION("""COMPUTED_VALUE"""),45785.0)</f>
        <v>45785</v>
      </c>
      <c r="G1884" s="12"/>
      <c r="H1884" s="12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</row>
    <row r="1885">
      <c r="A1885" s="11" t="str">
        <f>IFERROR(__xludf.DUMMYFUNCTION("""COMPUTED_VALUE"""),"Green Plains Inc  Com")</f>
        <v>Green Plains Inc  Com</v>
      </c>
      <c r="B1885" s="12" t="str">
        <f>IFERROR(__xludf.DUMMYFUNCTION("""COMPUTED_VALUE"""),"GPRE-US")</f>
        <v>GPRE-US</v>
      </c>
      <c r="C1885" s="12"/>
      <c r="D1885" s="13">
        <f>IFERROR(__xludf.DUMMYFUNCTION("""COMPUTED_VALUE"""),45457.0)</f>
        <v>45457</v>
      </c>
      <c r="E1885" s="13">
        <f>IFERROR(__xludf.DUMMYFUNCTION("""COMPUTED_VALUE"""),45814.0)</f>
        <v>45814</v>
      </c>
      <c r="F1885" s="13">
        <f>IFERROR(__xludf.DUMMYFUNCTION("""COMPUTED_VALUE"""),45814.0)</f>
        <v>45814</v>
      </c>
      <c r="G1885" s="12"/>
      <c r="H1885" s="12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</row>
    <row r="1886">
      <c r="A1886" s="11" t="str">
        <f>IFERROR(__xludf.DUMMYFUNCTION("""COMPUTED_VALUE"""),"Caledonia Mining Corp Plc  Com")</f>
        <v>Caledonia Mining Corp Plc  Com</v>
      </c>
      <c r="B1886" s="12" t="str">
        <f>IFERROR(__xludf.DUMMYFUNCTION("""COMPUTED_VALUE"""),"CMCL-US")</f>
        <v>CMCL-US</v>
      </c>
      <c r="C1886" s="12"/>
      <c r="D1886" s="13">
        <f>IFERROR(__xludf.DUMMYFUNCTION("""COMPUTED_VALUE"""),45457.0)</f>
        <v>45457</v>
      </c>
      <c r="E1886" s="13">
        <f>IFERROR(__xludf.DUMMYFUNCTION("""COMPUTED_VALUE"""),45783.0)</f>
        <v>45783</v>
      </c>
      <c r="F1886" s="13">
        <f>IFERROR(__xludf.DUMMYFUNCTION("""COMPUTED_VALUE"""),45783.0)</f>
        <v>45783</v>
      </c>
      <c r="G1886" s="12"/>
      <c r="H1886" s="12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</row>
    <row r="1887">
      <c r="A1887" s="11" t="str">
        <f>IFERROR(__xludf.DUMMYFUNCTION("""COMPUTED_VALUE"""),"Manitowoc Co Inc  Com")</f>
        <v>Manitowoc Co Inc  Com</v>
      </c>
      <c r="B1887" s="12" t="str">
        <f>IFERROR(__xludf.DUMMYFUNCTION("""COMPUTED_VALUE"""),"MTW-US")</f>
        <v>MTW-US</v>
      </c>
      <c r="C1887" s="12"/>
      <c r="D1887" s="13">
        <f>IFERROR(__xludf.DUMMYFUNCTION("""COMPUTED_VALUE"""),45457.0)</f>
        <v>45457</v>
      </c>
      <c r="E1887" s="13">
        <f>IFERROR(__xludf.DUMMYFUNCTION("""COMPUTED_VALUE"""),45783.0)</f>
        <v>45783</v>
      </c>
      <c r="F1887" s="13">
        <f>IFERROR(__xludf.DUMMYFUNCTION("""COMPUTED_VALUE"""),45783.0)</f>
        <v>45783</v>
      </c>
      <c r="G1887" s="12"/>
      <c r="H1887" s="12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</row>
    <row r="1888">
      <c r="A1888" s="11" t="str">
        <f>IFERROR(__xludf.DUMMYFUNCTION("""COMPUTED_VALUE"""),"Invesco Mortgage Capital Inc  Com")</f>
        <v>Invesco Mortgage Capital Inc  Com</v>
      </c>
      <c r="B1888" s="12" t="str">
        <f>IFERROR(__xludf.DUMMYFUNCTION("""COMPUTED_VALUE"""),"IVR-US")</f>
        <v>IVR-US</v>
      </c>
      <c r="C1888" s="12"/>
      <c r="D1888" s="13">
        <f>IFERROR(__xludf.DUMMYFUNCTION("""COMPUTED_VALUE"""),45457.0)</f>
        <v>45457</v>
      </c>
      <c r="E1888" s="13">
        <f>IFERROR(__xludf.DUMMYFUNCTION("""COMPUTED_VALUE"""),45783.0)</f>
        <v>45783</v>
      </c>
      <c r="F1888" s="13">
        <f>IFERROR(__xludf.DUMMYFUNCTION("""COMPUTED_VALUE"""),45783.0)</f>
        <v>45783</v>
      </c>
      <c r="G1888" s="12"/>
      <c r="H1888" s="12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</row>
    <row r="1889">
      <c r="A1889" s="11" t="str">
        <f>IFERROR(__xludf.DUMMYFUNCTION("""COMPUTED_VALUE"""),"Eli Lilly &amp; Co  Com")</f>
        <v>Eli Lilly &amp; Co  Com</v>
      </c>
      <c r="B1889" s="12" t="str">
        <f>IFERROR(__xludf.DUMMYFUNCTION("""COMPUTED_VALUE"""),"LLY-US")</f>
        <v>LLY-US</v>
      </c>
      <c r="C1889" s="12"/>
      <c r="D1889" s="13">
        <f>IFERROR(__xludf.DUMMYFUNCTION("""COMPUTED_VALUE"""),45457.0)</f>
        <v>45457</v>
      </c>
      <c r="E1889" s="13">
        <f>IFERROR(__xludf.DUMMYFUNCTION("""COMPUTED_VALUE"""),45782.0)</f>
        <v>45782</v>
      </c>
      <c r="F1889" s="13">
        <f>IFERROR(__xludf.DUMMYFUNCTION("""COMPUTED_VALUE"""),45782.0)</f>
        <v>45782</v>
      </c>
      <c r="G1889" s="12"/>
      <c r="H1889" s="12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</row>
    <row r="1890">
      <c r="A1890" s="11" t="str">
        <f>IFERROR(__xludf.DUMMYFUNCTION("""COMPUTED_VALUE"""),"American Express Co  Com")</f>
        <v>American Express Co  Com</v>
      </c>
      <c r="B1890" s="12" t="str">
        <f>IFERROR(__xludf.DUMMYFUNCTION("""COMPUTED_VALUE"""),"AXP-US")</f>
        <v>AXP-US</v>
      </c>
      <c r="C1890" s="12"/>
      <c r="D1890" s="13">
        <f>IFERROR(__xludf.DUMMYFUNCTION("""COMPUTED_VALUE"""),45457.0)</f>
        <v>45457</v>
      </c>
      <c r="E1890" s="13">
        <f>IFERROR(__xludf.DUMMYFUNCTION("""COMPUTED_VALUE"""),45776.0)</f>
        <v>45776</v>
      </c>
      <c r="F1890" s="13">
        <f>IFERROR(__xludf.DUMMYFUNCTION("""COMPUTED_VALUE"""),45776.0)</f>
        <v>45776</v>
      </c>
      <c r="G1890" s="12"/>
      <c r="H1890" s="12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</row>
    <row r="1891">
      <c r="A1891" s="11" t="str">
        <f>IFERROR(__xludf.DUMMYFUNCTION("""COMPUTED_VALUE"""),"Uber Technologies Inc  Com")</f>
        <v>Uber Technologies Inc  Com</v>
      </c>
      <c r="B1891" s="12" t="str">
        <f>IFERROR(__xludf.DUMMYFUNCTION("""COMPUTED_VALUE"""),"UBER-US")</f>
        <v>UBER-US</v>
      </c>
      <c r="C1891" s="12"/>
      <c r="D1891" s="13">
        <f>IFERROR(__xludf.DUMMYFUNCTION("""COMPUTED_VALUE"""),45457.0)</f>
        <v>45457</v>
      </c>
      <c r="E1891" s="13">
        <f>IFERROR(__xludf.DUMMYFUNCTION("""COMPUTED_VALUE"""),45782.0)</f>
        <v>45782</v>
      </c>
      <c r="F1891" s="13">
        <f>IFERROR(__xludf.DUMMYFUNCTION("""COMPUTED_VALUE"""),45782.0)</f>
        <v>45782</v>
      </c>
      <c r="G1891" s="12"/>
      <c r="H1891" s="12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</row>
    <row r="1892">
      <c r="A1892" s="11" t="str">
        <f>IFERROR(__xludf.DUMMYFUNCTION("""COMPUTED_VALUE"""),"Aflac Inc  Com")</f>
        <v>Aflac Inc  Com</v>
      </c>
      <c r="B1892" s="12" t="str">
        <f>IFERROR(__xludf.DUMMYFUNCTION("""COMPUTED_VALUE"""),"AFL-US")</f>
        <v>AFL-US</v>
      </c>
      <c r="C1892" s="12"/>
      <c r="D1892" s="13">
        <f>IFERROR(__xludf.DUMMYFUNCTION("""COMPUTED_VALUE"""),45457.0)</f>
        <v>45457</v>
      </c>
      <c r="E1892" s="13">
        <f>IFERROR(__xludf.DUMMYFUNCTION("""COMPUTED_VALUE"""),45782.0)</f>
        <v>45782</v>
      </c>
      <c r="F1892" s="13">
        <f>IFERROR(__xludf.DUMMYFUNCTION("""COMPUTED_VALUE"""),45782.0)</f>
        <v>45782</v>
      </c>
      <c r="G1892" s="12"/>
      <c r="H1892" s="12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</row>
    <row r="1893">
      <c r="A1893" s="11" t="str">
        <f>IFERROR(__xludf.DUMMYFUNCTION("""COMPUTED_VALUE"""),"Idexx Laboratories Inc  Com")</f>
        <v>Idexx Laboratories Inc  Com</v>
      </c>
      <c r="B1893" s="12" t="str">
        <f>IFERROR(__xludf.DUMMYFUNCTION("""COMPUTED_VALUE"""),"IDXX-US")</f>
        <v>IDXX-US</v>
      </c>
      <c r="C1893" s="12"/>
      <c r="D1893" s="13">
        <f>IFERROR(__xludf.DUMMYFUNCTION("""COMPUTED_VALUE"""),45457.0)</f>
        <v>45457</v>
      </c>
      <c r="E1893" s="13">
        <f>IFERROR(__xludf.DUMMYFUNCTION("""COMPUTED_VALUE"""),45784.0)</f>
        <v>45784</v>
      </c>
      <c r="F1893" s="13">
        <f>IFERROR(__xludf.DUMMYFUNCTION("""COMPUTED_VALUE"""),45784.0)</f>
        <v>45784</v>
      </c>
      <c r="G1893" s="12"/>
      <c r="H1893" s="12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</row>
    <row r="1894">
      <c r="A1894" s="11" t="str">
        <f>IFERROR(__xludf.DUMMYFUNCTION("""COMPUTED_VALUE"""),"Hershey Co  Com")</f>
        <v>Hershey Co  Com</v>
      </c>
      <c r="B1894" s="12" t="str">
        <f>IFERROR(__xludf.DUMMYFUNCTION("""COMPUTED_VALUE"""),"HSY-US")</f>
        <v>HSY-US</v>
      </c>
      <c r="C1894" s="12"/>
      <c r="D1894" s="13">
        <f>IFERROR(__xludf.DUMMYFUNCTION("""COMPUTED_VALUE"""),45457.0)</f>
        <v>45457</v>
      </c>
      <c r="E1894" s="13">
        <f>IFERROR(__xludf.DUMMYFUNCTION("""COMPUTED_VALUE"""),45783.0)</f>
        <v>45783</v>
      </c>
      <c r="F1894" s="13">
        <f>IFERROR(__xludf.DUMMYFUNCTION("""COMPUTED_VALUE"""),45783.0)</f>
        <v>45783</v>
      </c>
      <c r="G1894" s="12"/>
      <c r="H1894" s="12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</row>
    <row r="1895">
      <c r="A1895" s="11" t="str">
        <f>IFERROR(__xludf.DUMMYFUNCTION("""COMPUTED_VALUE"""),"Pultegroup Inc  Com")</f>
        <v>Pultegroup Inc  Com</v>
      </c>
      <c r="B1895" s="12" t="str">
        <f>IFERROR(__xludf.DUMMYFUNCTION("""COMPUTED_VALUE"""),"PHM-US")</f>
        <v>PHM-US</v>
      </c>
      <c r="C1895" s="12"/>
      <c r="D1895" s="13">
        <f>IFERROR(__xludf.DUMMYFUNCTION("""COMPUTED_VALUE"""),45457.0)</f>
        <v>45457</v>
      </c>
      <c r="E1895" s="13">
        <f>IFERROR(__xludf.DUMMYFUNCTION("""COMPUTED_VALUE"""),45777.0)</f>
        <v>45777</v>
      </c>
      <c r="F1895" s="13">
        <f>IFERROR(__xludf.DUMMYFUNCTION("""COMPUTED_VALUE"""),45777.0)</f>
        <v>45777</v>
      </c>
      <c r="G1895" s="12"/>
      <c r="H1895" s="12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</row>
    <row r="1896">
      <c r="A1896" s="11" t="str">
        <f>IFERROR(__xludf.DUMMYFUNCTION("""COMPUTED_VALUE"""),"Moderna Inc  Com")</f>
        <v>Moderna Inc  Com</v>
      </c>
      <c r="B1896" s="12" t="str">
        <f>IFERROR(__xludf.DUMMYFUNCTION("""COMPUTED_VALUE"""),"MRNA-US")</f>
        <v>MRNA-US</v>
      </c>
      <c r="C1896" s="12"/>
      <c r="D1896" s="13">
        <f>IFERROR(__xludf.DUMMYFUNCTION("""COMPUTED_VALUE"""),45457.0)</f>
        <v>45457</v>
      </c>
      <c r="E1896" s="13">
        <f>IFERROR(__xludf.DUMMYFUNCTION("""COMPUTED_VALUE"""),45777.0)</f>
        <v>45777</v>
      </c>
      <c r="F1896" s="13">
        <f>IFERROR(__xludf.DUMMYFUNCTION("""COMPUTED_VALUE"""),45777.0)</f>
        <v>45777</v>
      </c>
      <c r="G1896" s="12"/>
      <c r="H1896" s="12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</row>
    <row r="1897">
      <c r="A1897" s="11" t="str">
        <f>IFERROR(__xludf.DUMMYFUNCTION("""COMPUTED_VALUE"""),"Valmont Industries Inc  Com")</f>
        <v>Valmont Industries Inc  Com</v>
      </c>
      <c r="B1897" s="12" t="str">
        <f>IFERROR(__xludf.DUMMYFUNCTION("""COMPUTED_VALUE"""),"VMI-US")</f>
        <v>VMI-US</v>
      </c>
      <c r="C1897" s="12"/>
      <c r="D1897" s="13">
        <f>IFERROR(__xludf.DUMMYFUNCTION("""COMPUTED_VALUE"""),45457.0)</f>
        <v>45457</v>
      </c>
      <c r="E1897" s="13">
        <f>IFERROR(__xludf.DUMMYFUNCTION("""COMPUTED_VALUE"""),45775.0)</f>
        <v>45775</v>
      </c>
      <c r="F1897" s="13">
        <f>IFERROR(__xludf.DUMMYFUNCTION("""COMPUTED_VALUE"""),45775.0)</f>
        <v>45775</v>
      </c>
      <c r="G1897" s="12"/>
      <c r="H1897" s="12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</row>
    <row r="1898">
      <c r="A1898" s="11" t="str">
        <f>IFERROR(__xludf.DUMMYFUNCTION("""COMPUTED_VALUE"""),"Potlatchdeltic Corp  Com")</f>
        <v>Potlatchdeltic Corp  Com</v>
      </c>
      <c r="B1898" s="12" t="str">
        <f>IFERROR(__xludf.DUMMYFUNCTION("""COMPUTED_VALUE"""),"PCH-US")</f>
        <v>PCH-US</v>
      </c>
      <c r="C1898" s="12"/>
      <c r="D1898" s="13">
        <f>IFERROR(__xludf.DUMMYFUNCTION("""COMPUTED_VALUE"""),45457.0)</f>
        <v>45457</v>
      </c>
      <c r="E1898" s="13">
        <f>IFERROR(__xludf.DUMMYFUNCTION("""COMPUTED_VALUE"""),45782.0)</f>
        <v>45782</v>
      </c>
      <c r="F1898" s="13">
        <f>IFERROR(__xludf.DUMMYFUNCTION("""COMPUTED_VALUE"""),45782.0)</f>
        <v>45782</v>
      </c>
      <c r="G1898" s="12"/>
      <c r="H1898" s="12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</row>
    <row r="1899">
      <c r="A1899" s="11" t="str">
        <f>IFERROR(__xludf.DUMMYFUNCTION("""COMPUTED_VALUE"""),"Goosehead Insurance Inc  Cl A")</f>
        <v>Goosehead Insurance Inc  Cl A</v>
      </c>
      <c r="B1899" s="12" t="str">
        <f>IFERROR(__xludf.DUMMYFUNCTION("""COMPUTED_VALUE"""),"GSHD-US")</f>
        <v>GSHD-US</v>
      </c>
      <c r="C1899" s="12"/>
      <c r="D1899" s="13">
        <f>IFERROR(__xludf.DUMMYFUNCTION("""COMPUTED_VALUE"""),45457.0)</f>
        <v>45457</v>
      </c>
      <c r="E1899" s="13">
        <f>IFERROR(__xludf.DUMMYFUNCTION("""COMPUTED_VALUE"""),45782.0)</f>
        <v>45782</v>
      </c>
      <c r="F1899" s="13">
        <f>IFERROR(__xludf.DUMMYFUNCTION("""COMPUTED_VALUE"""),45782.0)</f>
        <v>45782</v>
      </c>
      <c r="G1899" s="12"/>
      <c r="H1899" s="12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</row>
    <row r="1900">
      <c r="A1900" s="11" t="str">
        <f>IFERROR(__xludf.DUMMYFUNCTION("""COMPUTED_VALUE"""),"Heritage Financial Corp/Wa  Com")</f>
        <v>Heritage Financial Corp/Wa  Com</v>
      </c>
      <c r="B1900" s="12" t="str">
        <f>IFERROR(__xludf.DUMMYFUNCTION("""COMPUTED_VALUE"""),"HFWA-US")</f>
        <v>HFWA-US</v>
      </c>
      <c r="C1900" s="12"/>
      <c r="D1900" s="13">
        <f>IFERROR(__xludf.DUMMYFUNCTION("""COMPUTED_VALUE"""),45457.0)</f>
        <v>45457</v>
      </c>
      <c r="E1900" s="13">
        <f>IFERROR(__xludf.DUMMYFUNCTION("""COMPUTED_VALUE"""),45782.0)</f>
        <v>45782</v>
      </c>
      <c r="F1900" s="13">
        <f>IFERROR(__xludf.DUMMYFUNCTION("""COMPUTED_VALUE"""),45782.0)</f>
        <v>45782</v>
      </c>
      <c r="G1900" s="12"/>
      <c r="H1900" s="12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</row>
    <row r="1901">
      <c r="A1901" s="11" t="str">
        <f>IFERROR(__xludf.DUMMYFUNCTION("""COMPUTED_VALUE"""),"Midland States Bancorp Inc  Com")</f>
        <v>Midland States Bancorp Inc  Com</v>
      </c>
      <c r="B1901" s="12" t="str">
        <f>IFERROR(__xludf.DUMMYFUNCTION("""COMPUTED_VALUE"""),"MSBI-US")</f>
        <v>MSBI-US</v>
      </c>
      <c r="C1901" s="12"/>
      <c r="D1901" s="13">
        <f>IFERROR(__xludf.DUMMYFUNCTION("""COMPUTED_VALUE"""),45457.0)</f>
        <v>45457</v>
      </c>
      <c r="E1901" s="13">
        <f>IFERROR(__xludf.DUMMYFUNCTION("""COMPUTED_VALUE"""),45873.0)</f>
        <v>45873</v>
      </c>
      <c r="F1901" s="13">
        <f>IFERROR(__xludf.DUMMYFUNCTION("""COMPUTED_VALUE"""),45873.0)</f>
        <v>45873</v>
      </c>
      <c r="G1901" s="12"/>
      <c r="H1901" s="12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</row>
    <row r="1902">
      <c r="A1902" s="11" t="str">
        <f>IFERROR(__xludf.DUMMYFUNCTION("""COMPUTED_VALUE"""),"Usana Health Sciences Inc  Com")</f>
        <v>Usana Health Sciences Inc  Com</v>
      </c>
      <c r="B1902" s="12" t="str">
        <f>IFERROR(__xludf.DUMMYFUNCTION("""COMPUTED_VALUE"""),"USNA-US")</f>
        <v>USNA-US</v>
      </c>
      <c r="C1902" s="12"/>
      <c r="D1902" s="13">
        <f>IFERROR(__xludf.DUMMYFUNCTION("""COMPUTED_VALUE"""),45457.0)</f>
        <v>45457</v>
      </c>
      <c r="E1902" s="13">
        <f>IFERROR(__xludf.DUMMYFUNCTION("""COMPUTED_VALUE"""),45796.0)</f>
        <v>45796</v>
      </c>
      <c r="F1902" s="13">
        <f>IFERROR(__xludf.DUMMYFUNCTION("""COMPUTED_VALUE"""),45796.0)</f>
        <v>45796</v>
      </c>
      <c r="G1902" s="12"/>
      <c r="H1902" s="12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</row>
    <row r="1903">
      <c r="A1903" s="11" t="str">
        <f>IFERROR(__xludf.DUMMYFUNCTION("""COMPUTED_VALUE"""),"York Water Co  Com")</f>
        <v>York Water Co  Com</v>
      </c>
      <c r="B1903" s="12" t="str">
        <f>IFERROR(__xludf.DUMMYFUNCTION("""COMPUTED_VALUE"""),"YORW-US")</f>
        <v>YORW-US</v>
      </c>
      <c r="C1903" s="12"/>
      <c r="D1903" s="13">
        <f>IFERROR(__xludf.DUMMYFUNCTION("""COMPUTED_VALUE"""),45457.0)</f>
        <v>45457</v>
      </c>
      <c r="E1903" s="13">
        <f>IFERROR(__xludf.DUMMYFUNCTION("""COMPUTED_VALUE"""),45782.0)</f>
        <v>45782</v>
      </c>
      <c r="F1903" s="13">
        <f>IFERROR(__xludf.DUMMYFUNCTION("""COMPUTED_VALUE"""),45782.0)</f>
        <v>45782</v>
      </c>
      <c r="G1903" s="12"/>
      <c r="H1903" s="12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</row>
    <row r="1904">
      <c r="A1904" s="11" t="str">
        <f>IFERROR(__xludf.DUMMYFUNCTION("""COMPUTED_VALUE"""),"Haverty Furniture Inc  Com")</f>
        <v>Haverty Furniture Inc  Com</v>
      </c>
      <c r="B1904" s="12" t="str">
        <f>IFERROR(__xludf.DUMMYFUNCTION("""COMPUTED_VALUE"""),"HVT-US")</f>
        <v>HVT-US</v>
      </c>
      <c r="C1904" s="12"/>
      <c r="D1904" s="13">
        <f>IFERROR(__xludf.DUMMYFUNCTION("""COMPUTED_VALUE"""),45457.0)</f>
        <v>45457</v>
      </c>
      <c r="E1904" s="13">
        <f>IFERROR(__xludf.DUMMYFUNCTION("""COMPUTED_VALUE"""),45789.0)</f>
        <v>45789</v>
      </c>
      <c r="F1904" s="13">
        <f>IFERROR(__xludf.DUMMYFUNCTION("""COMPUTED_VALUE"""),45789.0)</f>
        <v>45789</v>
      </c>
      <c r="G1904" s="12"/>
      <c r="H1904" s="12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</row>
    <row r="1905">
      <c r="A1905" s="11" t="str">
        <f>IFERROR(__xludf.DUMMYFUNCTION("""COMPUTED_VALUE"""),"Ew Scripps Co  Cl A")</f>
        <v>Ew Scripps Co  Cl A</v>
      </c>
      <c r="B1905" s="12" t="str">
        <f>IFERROR(__xludf.DUMMYFUNCTION("""COMPUTED_VALUE"""),"SSP-US")</f>
        <v>SSP-US</v>
      </c>
      <c r="C1905" s="12"/>
      <c r="D1905" s="13">
        <f>IFERROR(__xludf.DUMMYFUNCTION("""COMPUTED_VALUE"""),45457.0)</f>
        <v>45457</v>
      </c>
      <c r="E1905" s="13">
        <f>IFERROR(__xludf.DUMMYFUNCTION("""COMPUTED_VALUE"""),45782.0)</f>
        <v>45782</v>
      </c>
      <c r="F1905" s="13">
        <f>IFERROR(__xludf.DUMMYFUNCTION("""COMPUTED_VALUE"""),45782.0)</f>
        <v>45782</v>
      </c>
      <c r="G1905" s="12"/>
      <c r="H1905" s="12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</row>
    <row r="1906">
      <c r="A1906" s="11" t="str">
        <f>IFERROR(__xludf.DUMMYFUNCTION("""COMPUTED_VALUE"""),"Pitney Bowes Inc  Com")</f>
        <v>Pitney Bowes Inc  Com</v>
      </c>
      <c r="B1906" s="12" t="str">
        <f>IFERROR(__xludf.DUMMYFUNCTION("""COMPUTED_VALUE"""),"PBI-US")</f>
        <v>PBI-US</v>
      </c>
      <c r="C1906" s="12"/>
      <c r="D1906" s="13">
        <f>IFERROR(__xludf.DUMMYFUNCTION("""COMPUTED_VALUE"""),45457.0)</f>
        <v>45457</v>
      </c>
      <c r="E1906" s="13">
        <f>IFERROR(__xludf.DUMMYFUNCTION("""COMPUTED_VALUE"""),45790.0)</f>
        <v>45790</v>
      </c>
      <c r="F1906" s="13">
        <f>IFERROR(__xludf.DUMMYFUNCTION("""COMPUTED_VALUE"""),45790.0)</f>
        <v>45790</v>
      </c>
      <c r="G1906" s="12"/>
      <c r="H1906" s="12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</row>
    <row r="1907">
      <c r="A1907" s="11" t="str">
        <f>IFERROR(__xludf.DUMMYFUNCTION("""COMPUTED_VALUE"""),"Berkshire Hathaway Inc  Cl B")</f>
        <v>Berkshire Hathaway Inc  Cl B</v>
      </c>
      <c r="B1907" s="12" t="str">
        <f>IFERROR(__xludf.DUMMYFUNCTION("""COMPUTED_VALUE"""),"BRK.B-US")</f>
        <v>BRK.B-US</v>
      </c>
      <c r="C1907" s="12"/>
      <c r="D1907" s="13">
        <f>IFERROR(__xludf.DUMMYFUNCTION("""COMPUTED_VALUE"""),45457.0)</f>
        <v>45457</v>
      </c>
      <c r="E1907" s="13">
        <f>IFERROR(__xludf.DUMMYFUNCTION("""COMPUTED_VALUE"""),45780.0)</f>
        <v>45780</v>
      </c>
      <c r="F1907" s="13">
        <f>IFERROR(__xludf.DUMMYFUNCTION("""COMPUTED_VALUE"""),45780.0)</f>
        <v>45780</v>
      </c>
      <c r="G1907" s="12"/>
      <c r="H1907" s="12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</row>
    <row r="1908">
      <c r="A1908" s="11" t="str">
        <f>IFERROR(__xludf.DUMMYFUNCTION("""COMPUTED_VALUE"""),"Cincinnati Financial Corp  Com")</f>
        <v>Cincinnati Financial Corp  Com</v>
      </c>
      <c r="B1908" s="12" t="str">
        <f>IFERROR(__xludf.DUMMYFUNCTION("""COMPUTED_VALUE"""),"CINF-US")</f>
        <v>CINF-US</v>
      </c>
      <c r="C1908" s="12"/>
      <c r="D1908" s="13">
        <f>IFERROR(__xludf.DUMMYFUNCTION("""COMPUTED_VALUE"""),45460.0)</f>
        <v>45460</v>
      </c>
      <c r="E1908" s="13">
        <f>IFERROR(__xludf.DUMMYFUNCTION("""COMPUTED_VALUE"""),45780.0)</f>
        <v>45780</v>
      </c>
      <c r="F1908" s="13">
        <f>IFERROR(__xludf.DUMMYFUNCTION("""COMPUTED_VALUE"""),45780.0)</f>
        <v>45780</v>
      </c>
      <c r="G1908" s="12"/>
      <c r="H1908" s="12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</row>
    <row r="1909">
      <c r="A1909" s="11" t="str">
        <f>IFERROR(__xludf.DUMMYFUNCTION("""COMPUTED_VALUE"""),"Abbvie Inc  Com")</f>
        <v>Abbvie Inc  Com</v>
      </c>
      <c r="B1909" s="12" t="str">
        <f>IFERROR(__xludf.DUMMYFUNCTION("""COMPUTED_VALUE"""),"ABBV-US")</f>
        <v>ABBV-US</v>
      </c>
      <c r="C1909" s="12"/>
      <c r="D1909" s="13">
        <f>IFERROR(__xludf.DUMMYFUNCTION("""COMPUTED_VALUE"""),45460.0)</f>
        <v>45460</v>
      </c>
      <c r="E1909" s="13">
        <f>IFERROR(__xludf.DUMMYFUNCTION("""COMPUTED_VALUE"""),45786.0)</f>
        <v>45786</v>
      </c>
      <c r="F1909" s="13">
        <f>IFERROR(__xludf.DUMMYFUNCTION("""COMPUTED_VALUE"""),45786.0)</f>
        <v>45786</v>
      </c>
      <c r="G1909" s="12"/>
      <c r="H1909" s="12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</row>
    <row r="1910">
      <c r="A1910" s="11" t="str">
        <f>IFERROR(__xludf.DUMMYFUNCTION("""COMPUTED_VALUE"""),"Illinois Tool Works Inc  Com")</f>
        <v>Illinois Tool Works Inc  Com</v>
      </c>
      <c r="B1910" s="12" t="str">
        <f>IFERROR(__xludf.DUMMYFUNCTION("""COMPUTED_VALUE"""),"ITW-US")</f>
        <v>ITW-US</v>
      </c>
      <c r="C1910" s="12"/>
      <c r="D1910" s="13">
        <f>IFERROR(__xludf.DUMMYFUNCTION("""COMPUTED_VALUE"""),45460.0)</f>
        <v>45460</v>
      </c>
      <c r="E1910" s="13">
        <f>IFERROR(__xludf.DUMMYFUNCTION("""COMPUTED_VALUE"""),45779.0)</f>
        <v>45779</v>
      </c>
      <c r="F1910" s="13">
        <f>IFERROR(__xludf.DUMMYFUNCTION("""COMPUTED_VALUE"""),45779.0)</f>
        <v>45779</v>
      </c>
      <c r="G1910" s="12"/>
      <c r="H1910" s="12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</row>
    <row r="1911">
      <c r="A1911" s="11" t="str">
        <f>IFERROR(__xludf.DUMMYFUNCTION("""COMPUTED_VALUE"""),"Entergy Corp  Com")</f>
        <v>Entergy Corp  Com</v>
      </c>
      <c r="B1911" s="12" t="str">
        <f>IFERROR(__xludf.DUMMYFUNCTION("""COMPUTED_VALUE"""),"ETR-US")</f>
        <v>ETR-US</v>
      </c>
      <c r="C1911" s="12"/>
      <c r="D1911" s="13">
        <f>IFERROR(__xludf.DUMMYFUNCTION("""COMPUTED_VALUE"""),45460.0)</f>
        <v>45460</v>
      </c>
      <c r="E1911" s="13">
        <f>IFERROR(__xludf.DUMMYFUNCTION("""COMPUTED_VALUE"""),45779.0)</f>
        <v>45779</v>
      </c>
      <c r="F1911" s="13">
        <f>IFERROR(__xludf.DUMMYFUNCTION("""COMPUTED_VALUE"""),45779.0)</f>
        <v>45779</v>
      </c>
      <c r="G1911" s="12"/>
      <c r="H1911" s="12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</row>
    <row r="1912">
      <c r="A1912" s="11" t="str">
        <f>IFERROR(__xludf.DUMMYFUNCTION("""COMPUTED_VALUE"""),"Dover Corp  Com")</f>
        <v>Dover Corp  Com</v>
      </c>
      <c r="B1912" s="12" t="str">
        <f>IFERROR(__xludf.DUMMYFUNCTION("""COMPUTED_VALUE"""),"DOV-US")</f>
        <v>DOV-US</v>
      </c>
      <c r="C1912" s="12"/>
      <c r="D1912" s="13">
        <f>IFERROR(__xludf.DUMMYFUNCTION("""COMPUTED_VALUE"""),45460.0)</f>
        <v>45460</v>
      </c>
      <c r="E1912" s="13">
        <f>IFERROR(__xludf.DUMMYFUNCTION("""COMPUTED_VALUE"""),45779.0)</f>
        <v>45779</v>
      </c>
      <c r="F1912" s="13">
        <f>IFERROR(__xludf.DUMMYFUNCTION("""COMPUTED_VALUE"""),45779.0)</f>
        <v>45779</v>
      </c>
      <c r="G1912" s="12"/>
      <c r="H1912" s="12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</row>
    <row r="1913">
      <c r="A1913" s="11" t="str">
        <f>IFERROR(__xludf.DUMMYFUNCTION("""COMPUTED_VALUE"""),"Cms Energy Corp  Com")</f>
        <v>Cms Energy Corp  Com</v>
      </c>
      <c r="B1913" s="12" t="str">
        <f>IFERROR(__xludf.DUMMYFUNCTION("""COMPUTED_VALUE"""),"CMS-US")</f>
        <v>CMS-US</v>
      </c>
      <c r="C1913" s="12"/>
      <c r="D1913" s="13">
        <f>IFERROR(__xludf.DUMMYFUNCTION("""COMPUTED_VALUE"""),45460.0)</f>
        <v>45460</v>
      </c>
      <c r="E1913" s="13">
        <f>IFERROR(__xludf.DUMMYFUNCTION("""COMPUTED_VALUE"""),45779.0)</f>
        <v>45779</v>
      </c>
      <c r="F1913" s="13">
        <f>IFERROR(__xludf.DUMMYFUNCTION("""COMPUTED_VALUE"""),45779.0)</f>
        <v>45779</v>
      </c>
      <c r="G1913" s="12"/>
      <c r="H1913" s="12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</row>
    <row r="1914">
      <c r="A1914" s="11" t="str">
        <f>IFERROR(__xludf.DUMMYFUNCTION("""COMPUTED_VALUE"""),"Bwx Technologies Inc  Com")</f>
        <v>Bwx Technologies Inc  Com</v>
      </c>
      <c r="B1914" s="12" t="str">
        <f>IFERROR(__xludf.DUMMYFUNCTION("""COMPUTED_VALUE"""),"BWXT-US")</f>
        <v>BWXT-US</v>
      </c>
      <c r="C1914" s="12"/>
      <c r="D1914" s="13">
        <f>IFERROR(__xludf.DUMMYFUNCTION("""COMPUTED_VALUE"""),45461.0)</f>
        <v>45461</v>
      </c>
      <c r="E1914" s="13">
        <f>IFERROR(__xludf.DUMMYFUNCTION("""COMPUTED_VALUE"""),45779.0)</f>
        <v>45779</v>
      </c>
      <c r="F1914" s="13">
        <f>IFERROR(__xludf.DUMMYFUNCTION("""COMPUTED_VALUE"""),45779.0)</f>
        <v>45779</v>
      </c>
      <c r="G1914" s="12"/>
      <c r="H1914" s="12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</row>
    <row r="1915">
      <c r="A1915" s="11" t="str">
        <f>IFERROR(__xludf.DUMMYFUNCTION("""COMPUTED_VALUE"""),"Teleflex Inc  Com")</f>
        <v>Teleflex Inc  Com</v>
      </c>
      <c r="B1915" s="12" t="str">
        <f>IFERROR(__xludf.DUMMYFUNCTION("""COMPUTED_VALUE"""),"TFX-US")</f>
        <v>TFX-US</v>
      </c>
      <c r="C1915" s="12"/>
      <c r="D1915" s="13">
        <f>IFERROR(__xludf.DUMMYFUNCTION("""COMPUTED_VALUE"""),45461.0)</f>
        <v>45461</v>
      </c>
      <c r="E1915" s="13">
        <f>IFERROR(__xludf.DUMMYFUNCTION("""COMPUTED_VALUE"""),45786.0)</f>
        <v>45786</v>
      </c>
      <c r="F1915" s="13">
        <f>IFERROR(__xludf.DUMMYFUNCTION("""COMPUTED_VALUE"""),45786.0)</f>
        <v>45786</v>
      </c>
      <c r="G1915" s="12"/>
      <c r="H1915" s="12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</row>
    <row r="1916">
      <c r="A1916" s="11" t="str">
        <f>IFERROR(__xludf.DUMMYFUNCTION("""COMPUTED_VALUE"""),"Lattice Semiconductor Corp  Com")</f>
        <v>Lattice Semiconductor Corp  Com</v>
      </c>
      <c r="B1916" s="12" t="str">
        <f>IFERROR(__xludf.DUMMYFUNCTION("""COMPUTED_VALUE"""),"LSCC-US")</f>
        <v>LSCC-US</v>
      </c>
      <c r="C1916" s="12"/>
      <c r="D1916" s="13">
        <f>IFERROR(__xludf.DUMMYFUNCTION("""COMPUTED_VALUE"""),45461.0)</f>
        <v>45461</v>
      </c>
      <c r="E1916" s="13">
        <f>IFERROR(__xludf.DUMMYFUNCTION("""COMPUTED_VALUE"""),45779.0)</f>
        <v>45779</v>
      </c>
      <c r="F1916" s="13">
        <f>IFERROR(__xludf.DUMMYFUNCTION("""COMPUTED_VALUE"""),45779.0)</f>
        <v>45779</v>
      </c>
      <c r="G1916" s="12"/>
      <c r="H1916" s="12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</row>
    <row r="1917">
      <c r="A1917" s="11" t="str">
        <f>IFERROR(__xludf.DUMMYFUNCTION("""COMPUTED_VALUE"""),"Ryder System Inc  Com")</f>
        <v>Ryder System Inc  Com</v>
      </c>
      <c r="B1917" s="12" t="str">
        <f>IFERROR(__xludf.DUMMYFUNCTION("""COMPUTED_VALUE"""),"R-US")</f>
        <v>R-US</v>
      </c>
      <c r="C1917" s="12"/>
      <c r="D1917" s="13">
        <f>IFERROR(__xludf.DUMMYFUNCTION("""COMPUTED_VALUE"""),45461.0)</f>
        <v>45461</v>
      </c>
      <c r="E1917" s="13">
        <f>IFERROR(__xludf.DUMMYFUNCTION("""COMPUTED_VALUE"""),45779.0)</f>
        <v>45779</v>
      </c>
      <c r="F1917" s="13">
        <f>IFERROR(__xludf.DUMMYFUNCTION("""COMPUTED_VALUE"""),45779.0)</f>
        <v>45779</v>
      </c>
      <c r="G1917" s="12"/>
      <c r="H1917" s="12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</row>
    <row r="1918">
      <c r="A1918" s="11" t="str">
        <f>IFERROR(__xludf.DUMMYFUNCTION("""COMPUTED_VALUE"""),"Starwood Property Trust Inc  Com")</f>
        <v>Starwood Property Trust Inc  Com</v>
      </c>
      <c r="B1918" s="12" t="str">
        <f>IFERROR(__xludf.DUMMYFUNCTION("""COMPUTED_VALUE"""),"STWD-US")</f>
        <v>STWD-US</v>
      </c>
      <c r="C1918" s="12"/>
      <c r="D1918" s="13">
        <f>IFERROR(__xludf.DUMMYFUNCTION("""COMPUTED_VALUE"""),45461.0)</f>
        <v>45461</v>
      </c>
      <c r="E1918" s="13">
        <f>IFERROR(__xludf.DUMMYFUNCTION("""COMPUTED_VALUE"""),45778.0)</f>
        <v>45778</v>
      </c>
      <c r="F1918" s="13">
        <f>IFERROR(__xludf.DUMMYFUNCTION("""COMPUTED_VALUE"""),45778.0)</f>
        <v>45778</v>
      </c>
      <c r="G1918" s="12"/>
      <c r="H1918" s="12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</row>
    <row r="1919">
      <c r="A1919" s="11" t="str">
        <f>IFERROR(__xludf.DUMMYFUNCTION("""COMPUTED_VALUE"""),"Air Lease Corp  Cl A")</f>
        <v>Air Lease Corp  Cl A</v>
      </c>
      <c r="B1919" s="12" t="str">
        <f>IFERROR(__xludf.DUMMYFUNCTION("""COMPUTED_VALUE"""),"AL-US")</f>
        <v>AL-US</v>
      </c>
      <c r="C1919" s="12"/>
      <c r="D1919" s="13">
        <f>IFERROR(__xludf.DUMMYFUNCTION("""COMPUTED_VALUE"""),45461.0)</f>
        <v>45461</v>
      </c>
      <c r="E1919" s="13">
        <f>IFERROR(__xludf.DUMMYFUNCTION("""COMPUTED_VALUE"""),45779.0)</f>
        <v>45779</v>
      </c>
      <c r="F1919" s="13">
        <f>IFERROR(__xludf.DUMMYFUNCTION("""COMPUTED_VALUE"""),45779.0)</f>
        <v>45779</v>
      </c>
      <c r="G1919" s="12"/>
      <c r="H1919" s="12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</row>
    <row r="1920">
      <c r="A1920" s="11" t="str">
        <f>IFERROR(__xludf.DUMMYFUNCTION("""COMPUTED_VALUE"""),"Timken Co  Com")</f>
        <v>Timken Co  Com</v>
      </c>
      <c r="B1920" s="12" t="str">
        <f>IFERROR(__xludf.DUMMYFUNCTION("""COMPUTED_VALUE"""),"TKR-US")</f>
        <v>TKR-US</v>
      </c>
      <c r="C1920" s="12"/>
      <c r="D1920" s="13">
        <f>IFERROR(__xludf.DUMMYFUNCTION("""COMPUTED_VALUE"""),45461.0)</f>
        <v>45461</v>
      </c>
      <c r="E1920" s="13">
        <f>IFERROR(__xludf.DUMMYFUNCTION("""COMPUTED_VALUE"""),45779.0)</f>
        <v>45779</v>
      </c>
      <c r="F1920" s="13">
        <f>IFERROR(__xludf.DUMMYFUNCTION("""COMPUTED_VALUE"""),45779.0)</f>
        <v>45779</v>
      </c>
      <c r="G1920" s="12"/>
      <c r="H1920" s="12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</row>
    <row r="1921">
      <c r="A1921" s="11" t="str">
        <f>IFERROR(__xludf.DUMMYFUNCTION("""COMPUTED_VALUE"""),"Franklin Electric Inc  Com")</f>
        <v>Franklin Electric Inc  Com</v>
      </c>
      <c r="B1921" s="12" t="str">
        <f>IFERROR(__xludf.DUMMYFUNCTION("""COMPUTED_VALUE"""),"FELE-US")</f>
        <v>FELE-US</v>
      </c>
      <c r="C1921" s="12"/>
      <c r="D1921" s="13">
        <f>IFERROR(__xludf.DUMMYFUNCTION("""COMPUTED_VALUE"""),45461.0)</f>
        <v>45461</v>
      </c>
      <c r="E1921" s="13">
        <f>IFERROR(__xludf.DUMMYFUNCTION("""COMPUTED_VALUE"""),45779.0)</f>
        <v>45779</v>
      </c>
      <c r="F1921" s="13">
        <f>IFERROR(__xludf.DUMMYFUNCTION("""COMPUTED_VALUE"""),45779.0)</f>
        <v>45779</v>
      </c>
      <c r="G1921" s="12"/>
      <c r="H1921" s="12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</row>
    <row r="1922">
      <c r="A1922" s="11" t="str">
        <f>IFERROR(__xludf.DUMMYFUNCTION("""COMPUTED_VALUE"""),"California Resources Corp  Com")</f>
        <v>California Resources Corp  Com</v>
      </c>
      <c r="B1922" s="12" t="str">
        <f>IFERROR(__xludf.DUMMYFUNCTION("""COMPUTED_VALUE"""),"CRC-US")</f>
        <v>CRC-US</v>
      </c>
      <c r="C1922" s="12"/>
      <c r="D1922" s="13">
        <f>IFERROR(__xludf.DUMMYFUNCTION("""COMPUTED_VALUE"""),45461.0)</f>
        <v>45461</v>
      </c>
      <c r="E1922" s="13">
        <f>IFERROR(__xludf.DUMMYFUNCTION("""COMPUTED_VALUE"""),45779.0)</f>
        <v>45779</v>
      </c>
      <c r="F1922" s="13">
        <f>IFERROR(__xludf.DUMMYFUNCTION("""COMPUTED_VALUE"""),45779.0)</f>
        <v>45779</v>
      </c>
      <c r="G1922" s="12"/>
      <c r="H1922" s="12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</row>
    <row r="1923">
      <c r="A1923" s="11" t="str">
        <f>IFERROR(__xludf.DUMMYFUNCTION("""COMPUTED_VALUE"""),"Geo Group Inc  Com")</f>
        <v>Geo Group Inc  Com</v>
      </c>
      <c r="B1923" s="12" t="str">
        <f>IFERROR(__xludf.DUMMYFUNCTION("""COMPUTED_VALUE"""),"GEO-US")</f>
        <v>GEO-US</v>
      </c>
      <c r="C1923" s="12"/>
      <c r="D1923" s="13">
        <f>IFERROR(__xludf.DUMMYFUNCTION("""COMPUTED_VALUE"""),45461.0)</f>
        <v>45461</v>
      </c>
      <c r="E1923" s="13">
        <f>IFERROR(__xludf.DUMMYFUNCTION("""COMPUTED_VALUE"""),45776.0)</f>
        <v>45776</v>
      </c>
      <c r="F1923" s="13">
        <f>IFERROR(__xludf.DUMMYFUNCTION("""COMPUTED_VALUE"""),45776.0)</f>
        <v>45776</v>
      </c>
      <c r="G1923" s="12"/>
      <c r="H1923" s="12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</row>
    <row r="1924">
      <c r="A1924" s="11" t="str">
        <f>IFERROR(__xludf.DUMMYFUNCTION("""COMPUTED_VALUE"""),"Echostar Corp  Com")</f>
        <v>Echostar Corp  Com</v>
      </c>
      <c r="B1924" s="12" t="str">
        <f>IFERROR(__xludf.DUMMYFUNCTION("""COMPUTED_VALUE"""),"SATS-US")</f>
        <v>SATS-US</v>
      </c>
      <c r="C1924" s="12"/>
      <c r="D1924" s="13">
        <f>IFERROR(__xludf.DUMMYFUNCTION("""COMPUTED_VALUE"""),45461.0)</f>
        <v>45461</v>
      </c>
      <c r="E1924" s="13">
        <f>IFERROR(__xludf.DUMMYFUNCTION("""COMPUTED_VALUE"""),45779.0)</f>
        <v>45779</v>
      </c>
      <c r="F1924" s="13">
        <f>IFERROR(__xludf.DUMMYFUNCTION("""COMPUTED_VALUE"""),45779.0)</f>
        <v>45779</v>
      </c>
      <c r="G1924" s="12"/>
      <c r="H1924" s="12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</row>
    <row r="1925">
      <c r="A1925" s="11" t="str">
        <f>IFERROR(__xludf.DUMMYFUNCTION("""COMPUTED_VALUE"""),"Manpowergroup  Com")</f>
        <v>Manpowergroup  Com</v>
      </c>
      <c r="B1925" s="12" t="str">
        <f>IFERROR(__xludf.DUMMYFUNCTION("""COMPUTED_VALUE"""),"MAN-US")</f>
        <v>MAN-US</v>
      </c>
      <c r="C1925" s="12"/>
      <c r="D1925" s="13">
        <f>IFERROR(__xludf.DUMMYFUNCTION("""COMPUTED_VALUE"""),45461.0)</f>
        <v>45461</v>
      </c>
      <c r="E1925" s="13">
        <f>IFERROR(__xludf.DUMMYFUNCTION("""COMPUTED_VALUE"""),45779.0)</f>
        <v>45779</v>
      </c>
      <c r="F1925" s="13">
        <f>IFERROR(__xludf.DUMMYFUNCTION("""COMPUTED_VALUE"""),45779.0)</f>
        <v>45779</v>
      </c>
      <c r="G1925" s="12"/>
      <c r="H1925" s="12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</row>
    <row r="1926">
      <c r="A1926" s="11" t="str">
        <f>IFERROR(__xludf.DUMMYFUNCTION("""COMPUTED_VALUE"""),"Sunstone Hotel Investors Inc  Com")</f>
        <v>Sunstone Hotel Investors Inc  Com</v>
      </c>
      <c r="B1926" s="12" t="str">
        <f>IFERROR(__xludf.DUMMYFUNCTION("""COMPUTED_VALUE"""),"SHO-US")</f>
        <v>SHO-US</v>
      </c>
      <c r="C1926" s="12"/>
      <c r="D1926" s="13">
        <f>IFERROR(__xludf.DUMMYFUNCTION("""COMPUTED_VALUE"""),45461.0)</f>
        <v>45461</v>
      </c>
      <c r="E1926" s="13">
        <f>IFERROR(__xludf.DUMMYFUNCTION("""COMPUTED_VALUE"""),45778.0)</f>
        <v>45778</v>
      </c>
      <c r="F1926" s="13">
        <f>IFERROR(__xludf.DUMMYFUNCTION("""COMPUTED_VALUE"""),45778.0)</f>
        <v>45778</v>
      </c>
      <c r="G1926" s="12"/>
      <c r="H1926" s="12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</row>
    <row r="1927">
      <c r="A1927" s="11" t="str">
        <f>IFERROR(__xludf.DUMMYFUNCTION("""COMPUTED_VALUE"""),"Barnes Group Inc  Com")</f>
        <v>Barnes Group Inc  Com</v>
      </c>
      <c r="B1927" s="12" t="str">
        <f>IFERROR(__xludf.DUMMYFUNCTION("""COMPUTED_VALUE"""),"B-US")</f>
        <v>B-US</v>
      </c>
      <c r="C1927" s="12"/>
      <c r="D1927" s="13">
        <f>IFERROR(__xludf.DUMMYFUNCTION("""COMPUTED_VALUE"""),45461.0)</f>
        <v>45461</v>
      </c>
      <c r="E1927" s="13">
        <f>IFERROR(__xludf.DUMMYFUNCTION("""COMPUTED_VALUE"""),45786.0)</f>
        <v>45786</v>
      </c>
      <c r="F1927" s="13">
        <f>IFERROR(__xludf.DUMMYFUNCTION("""COMPUTED_VALUE"""),45786.0)</f>
        <v>45786</v>
      </c>
      <c r="G1927" s="12"/>
      <c r="H1927" s="12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</row>
    <row r="1928">
      <c r="A1928" s="11" t="str">
        <f>IFERROR(__xludf.DUMMYFUNCTION("""COMPUTED_VALUE"""),"Huron Consulting Group Inc  Com")</f>
        <v>Huron Consulting Group Inc  Com</v>
      </c>
      <c r="B1928" s="12" t="str">
        <f>IFERROR(__xludf.DUMMYFUNCTION("""COMPUTED_VALUE"""),"HURN-US")</f>
        <v>HURN-US</v>
      </c>
      <c r="C1928" s="12"/>
      <c r="D1928" s="13">
        <f>IFERROR(__xludf.DUMMYFUNCTION("""COMPUTED_VALUE"""),45461.0)</f>
        <v>45461</v>
      </c>
      <c r="E1928" s="13">
        <f>IFERROR(__xludf.DUMMYFUNCTION("""COMPUTED_VALUE"""),45786.0)</f>
        <v>45786</v>
      </c>
      <c r="F1928" s="13">
        <f>IFERROR(__xludf.DUMMYFUNCTION("""COMPUTED_VALUE"""),45786.0)</f>
        <v>45786</v>
      </c>
      <c r="G1928" s="12"/>
      <c r="H1928" s="12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</row>
    <row r="1929">
      <c r="A1929" s="11" t="str">
        <f>IFERROR(__xludf.DUMMYFUNCTION("""COMPUTED_VALUE"""),"Fox Factory Holding Corp  Com")</f>
        <v>Fox Factory Holding Corp  Com</v>
      </c>
      <c r="B1929" s="12" t="str">
        <f>IFERROR(__xludf.DUMMYFUNCTION("""COMPUTED_VALUE"""),"FOXF-US")</f>
        <v>FOXF-US</v>
      </c>
      <c r="C1929" s="12"/>
      <c r="D1929" s="13">
        <f>IFERROR(__xludf.DUMMYFUNCTION("""COMPUTED_VALUE"""),45461.0)</f>
        <v>45461</v>
      </c>
      <c r="E1929" s="13">
        <f>IFERROR(__xludf.DUMMYFUNCTION("""COMPUTED_VALUE"""),45786.0)</f>
        <v>45786</v>
      </c>
      <c r="F1929" s="13">
        <f>IFERROR(__xludf.DUMMYFUNCTION("""COMPUTED_VALUE"""),45786.0)</f>
        <v>45786</v>
      </c>
      <c r="G1929" s="12"/>
      <c r="H1929" s="12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</row>
    <row r="1930">
      <c r="A1930" s="11" t="str">
        <f>IFERROR(__xludf.DUMMYFUNCTION("""COMPUTED_VALUE"""),"Paysign Inc  Com")</f>
        <v>Paysign Inc  Com</v>
      </c>
      <c r="B1930" s="12" t="str">
        <f>IFERROR(__xludf.DUMMYFUNCTION("""COMPUTED_VALUE"""),"PAYS-US")</f>
        <v>PAYS-US</v>
      </c>
      <c r="C1930" s="12"/>
      <c r="D1930" s="13">
        <f>IFERROR(__xludf.DUMMYFUNCTION("""COMPUTED_VALUE"""),45461.0)</f>
        <v>45461</v>
      </c>
      <c r="E1930" s="13">
        <f>IFERROR(__xludf.DUMMYFUNCTION("""COMPUTED_VALUE"""),45784.0)</f>
        <v>45784</v>
      </c>
      <c r="F1930" s="13">
        <f>IFERROR(__xludf.DUMMYFUNCTION("""COMPUTED_VALUE"""),45784.0)</f>
        <v>45784</v>
      </c>
      <c r="G1930" s="12"/>
      <c r="H1930" s="12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</row>
    <row r="1931">
      <c r="A1931" s="11" t="str">
        <f>IFERROR(__xludf.DUMMYFUNCTION("""COMPUTED_VALUE"""),"Olympic Steel Inc  Com")</f>
        <v>Olympic Steel Inc  Com</v>
      </c>
      <c r="B1931" s="12" t="str">
        <f>IFERROR(__xludf.DUMMYFUNCTION("""COMPUTED_VALUE"""),"ZEUS-US")</f>
        <v>ZEUS-US</v>
      </c>
      <c r="C1931" s="12"/>
      <c r="D1931" s="13">
        <f>IFERROR(__xludf.DUMMYFUNCTION("""COMPUTED_VALUE"""),45461.0)</f>
        <v>45461</v>
      </c>
      <c r="E1931" s="13">
        <f>IFERROR(__xludf.DUMMYFUNCTION("""COMPUTED_VALUE"""),45779.0)</f>
        <v>45779</v>
      </c>
      <c r="F1931" s="13">
        <f>IFERROR(__xludf.DUMMYFUNCTION("""COMPUTED_VALUE"""),45779.0)</f>
        <v>45779</v>
      </c>
      <c r="G1931" s="12"/>
      <c r="H1931" s="12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</row>
    <row r="1932">
      <c r="A1932" s="11" t="str">
        <f>IFERROR(__xludf.DUMMYFUNCTION("""COMPUTED_VALUE"""),"Utah Medical Products Inc  Com")</f>
        <v>Utah Medical Products Inc  Com</v>
      </c>
      <c r="B1932" s="12" t="str">
        <f>IFERROR(__xludf.DUMMYFUNCTION("""COMPUTED_VALUE"""),"UTMD-US")</f>
        <v>UTMD-US</v>
      </c>
      <c r="C1932" s="12"/>
      <c r="D1932" s="13">
        <f>IFERROR(__xludf.DUMMYFUNCTION("""COMPUTED_VALUE"""),45461.0)</f>
        <v>45461</v>
      </c>
      <c r="E1932" s="13">
        <f>IFERROR(__xludf.DUMMYFUNCTION("""COMPUTED_VALUE"""),45779.0)</f>
        <v>45779</v>
      </c>
      <c r="F1932" s="13">
        <f>IFERROR(__xludf.DUMMYFUNCTION("""COMPUTED_VALUE"""),45779.0)</f>
        <v>45779</v>
      </c>
      <c r="G1932" s="12"/>
      <c r="H1932" s="12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</row>
    <row r="1933">
      <c r="A1933" s="11" t="str">
        <f>IFERROR(__xludf.DUMMYFUNCTION("""COMPUTED_VALUE"""),"Rtx Corp  Com")</f>
        <v>Rtx Corp  Com</v>
      </c>
      <c r="B1933" s="12" t="str">
        <f>IFERROR(__xludf.DUMMYFUNCTION("""COMPUTED_VALUE"""),"RTX-US")</f>
        <v>RTX-US</v>
      </c>
      <c r="C1933" s="12"/>
      <c r="D1933" s="13">
        <f>IFERROR(__xludf.DUMMYFUNCTION("""COMPUTED_VALUE"""),45461.0)</f>
        <v>45461</v>
      </c>
      <c r="E1933" s="13">
        <f>IFERROR(__xludf.DUMMYFUNCTION("""COMPUTED_VALUE"""),45778.0)</f>
        <v>45778</v>
      </c>
      <c r="F1933" s="13">
        <f>IFERROR(__xludf.DUMMYFUNCTION("""COMPUTED_VALUE"""),45778.0)</f>
        <v>45778</v>
      </c>
      <c r="G1933" s="12"/>
      <c r="H1933" s="12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</row>
    <row r="1934">
      <c r="A1934" s="11" t="str">
        <f>IFERROR(__xludf.DUMMYFUNCTION("""COMPUTED_VALUE"""),"Boston Scientific Corp  Com")</f>
        <v>Boston Scientific Corp  Com</v>
      </c>
      <c r="B1934" s="12" t="str">
        <f>IFERROR(__xludf.DUMMYFUNCTION("""COMPUTED_VALUE"""),"BSX-US")</f>
        <v>BSX-US</v>
      </c>
      <c r="C1934" s="12"/>
      <c r="D1934" s="13">
        <f>IFERROR(__xludf.DUMMYFUNCTION("""COMPUTED_VALUE"""),45461.0)</f>
        <v>45461</v>
      </c>
      <c r="E1934" s="13">
        <f>IFERROR(__xludf.DUMMYFUNCTION("""COMPUTED_VALUE"""),45778.0)</f>
        <v>45778</v>
      </c>
      <c r="F1934" s="13">
        <f>IFERROR(__xludf.DUMMYFUNCTION("""COMPUTED_VALUE"""),45778.0)</f>
        <v>45778</v>
      </c>
      <c r="G1934" s="12"/>
      <c r="H1934" s="12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</row>
    <row r="1935">
      <c r="A1935" s="11" t="str">
        <f>IFERROR(__xludf.DUMMYFUNCTION("""COMPUTED_VALUE"""),"Lockheed Martin Corp  Com")</f>
        <v>Lockheed Martin Corp  Com</v>
      </c>
      <c r="B1935" s="12" t="str">
        <f>IFERROR(__xludf.DUMMYFUNCTION("""COMPUTED_VALUE"""),"LMT-US")</f>
        <v>LMT-US</v>
      </c>
      <c r="C1935" s="12"/>
      <c r="D1935" s="13">
        <f>IFERROR(__xludf.DUMMYFUNCTION("""COMPUTED_VALUE"""),45461.0)</f>
        <v>45461</v>
      </c>
      <c r="E1935" s="13">
        <f>IFERROR(__xludf.DUMMYFUNCTION("""COMPUTED_VALUE"""),45786.0)</f>
        <v>45786</v>
      </c>
      <c r="F1935" s="13">
        <f>IFERROR(__xludf.DUMMYFUNCTION("""COMPUTED_VALUE"""),45786.0)</f>
        <v>45786</v>
      </c>
      <c r="G1935" s="12"/>
      <c r="H1935" s="12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</row>
    <row r="1936">
      <c r="A1936" s="11" t="str">
        <f>IFERROR(__xludf.DUMMYFUNCTION("""COMPUTED_VALUE"""),"United Parcel Service Inc  Cl B")</f>
        <v>United Parcel Service Inc  Cl B</v>
      </c>
      <c r="B1936" s="12" t="str">
        <f>IFERROR(__xludf.DUMMYFUNCTION("""COMPUTED_VALUE"""),"UPS-US")</f>
        <v>UPS-US</v>
      </c>
      <c r="C1936" s="12"/>
      <c r="D1936" s="13">
        <f>IFERROR(__xludf.DUMMYFUNCTION("""COMPUTED_VALUE"""),45461.0)</f>
        <v>45461</v>
      </c>
      <c r="E1936" s="13">
        <f>IFERROR(__xludf.DUMMYFUNCTION("""COMPUTED_VALUE"""),45785.0)</f>
        <v>45785</v>
      </c>
      <c r="F1936" s="13">
        <f>IFERROR(__xludf.DUMMYFUNCTION("""COMPUTED_VALUE"""),45785.0)</f>
        <v>45785</v>
      </c>
      <c r="G1936" s="12"/>
      <c r="H1936" s="12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</row>
    <row r="1937">
      <c r="A1937" s="11" t="str">
        <f>IFERROR(__xludf.DUMMYFUNCTION("""COMPUTED_VALUE"""),"Cadence Design System Inc  Com")</f>
        <v>Cadence Design System Inc  Com</v>
      </c>
      <c r="B1937" s="12" t="str">
        <f>IFERROR(__xludf.DUMMYFUNCTION("""COMPUTED_VALUE"""),"CDNS-US")</f>
        <v>CDNS-US</v>
      </c>
      <c r="C1937" s="12"/>
      <c r="D1937" s="13">
        <f>IFERROR(__xludf.DUMMYFUNCTION("""COMPUTED_VALUE"""),45461.0)</f>
        <v>45461</v>
      </c>
      <c r="E1937" s="13">
        <f>IFERROR(__xludf.DUMMYFUNCTION("""COMPUTED_VALUE"""),45785.0)</f>
        <v>45785</v>
      </c>
      <c r="F1937" s="13">
        <f>IFERROR(__xludf.DUMMYFUNCTION("""COMPUTED_VALUE"""),45785.0)</f>
        <v>45785</v>
      </c>
      <c r="G1937" s="12"/>
      <c r="H1937" s="12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</row>
    <row r="1938">
      <c r="A1938" s="11" t="str">
        <f>IFERROR(__xludf.DUMMYFUNCTION("""COMPUTED_VALUE"""),"Capital One Financial Corp  Com")</f>
        <v>Capital One Financial Corp  Com</v>
      </c>
      <c r="B1938" s="12" t="str">
        <f>IFERROR(__xludf.DUMMYFUNCTION("""COMPUTED_VALUE"""),"COF-US")</f>
        <v>COF-US</v>
      </c>
      <c r="C1938" s="12"/>
      <c r="D1938" s="13">
        <f>IFERROR(__xludf.DUMMYFUNCTION("""COMPUTED_VALUE"""),45461.0)</f>
        <v>45461</v>
      </c>
      <c r="E1938" s="13">
        <f>IFERROR(__xludf.DUMMYFUNCTION("""COMPUTED_VALUE"""),45785.0)</f>
        <v>45785</v>
      </c>
      <c r="F1938" s="13">
        <f>IFERROR(__xludf.DUMMYFUNCTION("""COMPUTED_VALUE"""),45785.0)</f>
        <v>45785</v>
      </c>
      <c r="G1938" s="12"/>
      <c r="H1938" s="12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</row>
    <row r="1939">
      <c r="A1939" s="11" t="str">
        <f>IFERROR(__xludf.DUMMYFUNCTION("""COMPUTED_VALUE"""),"Ecolab Inc  Com")</f>
        <v>Ecolab Inc  Com</v>
      </c>
      <c r="B1939" s="12" t="str">
        <f>IFERROR(__xludf.DUMMYFUNCTION("""COMPUTED_VALUE"""),"ECL-US")</f>
        <v>ECL-US</v>
      </c>
      <c r="C1939" s="12"/>
      <c r="D1939" s="13">
        <f>IFERROR(__xludf.DUMMYFUNCTION("""COMPUTED_VALUE"""),45461.0)</f>
        <v>45461</v>
      </c>
      <c r="E1939" s="13">
        <f>IFERROR(__xludf.DUMMYFUNCTION("""COMPUTED_VALUE"""),45785.0)</f>
        <v>45785</v>
      </c>
      <c r="F1939" s="13">
        <f>IFERROR(__xludf.DUMMYFUNCTION("""COMPUTED_VALUE"""),45785.0)</f>
        <v>45785</v>
      </c>
      <c r="G1939" s="12"/>
      <c r="H1939" s="12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</row>
    <row r="1940">
      <c r="A1940" s="11" t="str">
        <f>IFERROR(__xludf.DUMMYFUNCTION("""COMPUTED_VALUE"""),"Kimberly Clark Corp  Com")</f>
        <v>Kimberly Clark Corp  Com</v>
      </c>
      <c r="B1940" s="12" t="str">
        <f>IFERROR(__xludf.DUMMYFUNCTION("""COMPUTED_VALUE"""),"KMB-US")</f>
        <v>KMB-US</v>
      </c>
      <c r="C1940" s="12"/>
      <c r="D1940" s="13">
        <f>IFERROR(__xludf.DUMMYFUNCTION("""COMPUTED_VALUE"""),45461.0)</f>
        <v>45461</v>
      </c>
      <c r="E1940" s="13">
        <f>IFERROR(__xludf.DUMMYFUNCTION("""COMPUTED_VALUE"""),45778.0)</f>
        <v>45778</v>
      </c>
      <c r="F1940" s="13">
        <f>IFERROR(__xludf.DUMMYFUNCTION("""COMPUTED_VALUE"""),45778.0)</f>
        <v>45778</v>
      </c>
      <c r="G1940" s="12"/>
      <c r="H1940" s="12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</row>
    <row r="1941">
      <c r="A1941" s="11" t="str">
        <f>IFERROR(__xludf.DUMMYFUNCTION("""COMPUTED_VALUE"""),"Corning Inc  Com")</f>
        <v>Corning Inc  Com</v>
      </c>
      <c r="B1941" s="12" t="str">
        <f>IFERROR(__xludf.DUMMYFUNCTION("""COMPUTED_VALUE"""),"GLW-US")</f>
        <v>GLW-US</v>
      </c>
      <c r="C1941" s="12"/>
      <c r="D1941" s="13">
        <f>IFERROR(__xludf.DUMMYFUNCTION("""COMPUTED_VALUE"""),45461.0)</f>
        <v>45461</v>
      </c>
      <c r="E1941" s="13">
        <f>IFERROR(__xludf.DUMMYFUNCTION("""COMPUTED_VALUE"""),45778.0)</f>
        <v>45778</v>
      </c>
      <c r="F1941" s="13">
        <f>IFERROR(__xludf.DUMMYFUNCTION("""COMPUTED_VALUE"""),45778.0)</f>
        <v>45778</v>
      </c>
      <c r="G1941" s="12"/>
      <c r="H1941" s="12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</row>
    <row r="1942">
      <c r="A1942" s="11" t="str">
        <f>IFERROR(__xludf.DUMMYFUNCTION("""COMPUTED_VALUE"""),"Occidental Petroleum Corp  Com")</f>
        <v>Occidental Petroleum Corp  Com</v>
      </c>
      <c r="B1942" s="12" t="str">
        <f>IFERROR(__xludf.DUMMYFUNCTION("""COMPUTED_VALUE"""),"OXY-US")</f>
        <v>OXY-US</v>
      </c>
      <c r="C1942" s="12"/>
      <c r="D1942" s="13">
        <f>IFERROR(__xludf.DUMMYFUNCTION("""COMPUTED_VALUE"""),45461.0)</f>
        <v>45461</v>
      </c>
      <c r="E1942" s="13">
        <f>IFERROR(__xludf.DUMMYFUNCTION("""COMPUTED_VALUE"""),45779.0)</f>
        <v>45779</v>
      </c>
      <c r="F1942" s="13">
        <f>IFERROR(__xludf.DUMMYFUNCTION("""COMPUTED_VALUE"""),45779.0)</f>
        <v>45779</v>
      </c>
      <c r="G1942" s="12"/>
      <c r="H1942" s="12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</row>
    <row r="1943">
      <c r="A1943" s="11" t="str">
        <f>IFERROR(__xludf.DUMMYFUNCTION("""COMPUTED_VALUE"""),"Equifax Inc  Com")</f>
        <v>Equifax Inc  Com</v>
      </c>
      <c r="B1943" s="12" t="str">
        <f>IFERROR(__xludf.DUMMYFUNCTION("""COMPUTED_VALUE"""),"EFX-US")</f>
        <v>EFX-US</v>
      </c>
      <c r="C1943" s="12"/>
      <c r="D1943" s="13">
        <f>IFERROR(__xludf.DUMMYFUNCTION("""COMPUTED_VALUE"""),45461.0)</f>
        <v>45461</v>
      </c>
      <c r="E1943" s="13">
        <f>IFERROR(__xludf.DUMMYFUNCTION("""COMPUTED_VALUE"""),45785.0)</f>
        <v>45785</v>
      </c>
      <c r="F1943" s="13">
        <f>IFERROR(__xludf.DUMMYFUNCTION("""COMPUTED_VALUE"""),45785.0)</f>
        <v>45785</v>
      </c>
      <c r="G1943" s="12"/>
      <c r="H1943" s="12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</row>
    <row r="1944">
      <c r="A1944" s="11" t="str">
        <f>IFERROR(__xludf.DUMMYFUNCTION("""COMPUTED_VALUE"""),"Kraft Heinz Co  Com")</f>
        <v>Kraft Heinz Co  Com</v>
      </c>
      <c r="B1944" s="12" t="str">
        <f>IFERROR(__xludf.DUMMYFUNCTION("""COMPUTED_VALUE"""),"KHC-US")</f>
        <v>KHC-US</v>
      </c>
      <c r="C1944" s="12"/>
      <c r="D1944" s="13">
        <f>IFERROR(__xludf.DUMMYFUNCTION("""COMPUTED_VALUE"""),45461.0)</f>
        <v>45461</v>
      </c>
      <c r="E1944" s="13">
        <f>IFERROR(__xludf.DUMMYFUNCTION("""COMPUTED_VALUE"""),45785.0)</f>
        <v>45785</v>
      </c>
      <c r="F1944" s="13">
        <f>IFERROR(__xludf.DUMMYFUNCTION("""COMPUTED_VALUE"""),45785.0)</f>
        <v>45785</v>
      </c>
      <c r="G1944" s="12"/>
      <c r="H1944" s="12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</row>
    <row r="1945">
      <c r="A1945" s="11" t="str">
        <f>IFERROR(__xludf.DUMMYFUNCTION("""COMPUTED_VALUE"""),"Church &amp; Dwight Inc  Com")</f>
        <v>Church &amp; Dwight Inc  Com</v>
      </c>
      <c r="B1945" s="12" t="str">
        <f>IFERROR(__xludf.DUMMYFUNCTION("""COMPUTED_VALUE"""),"CHD-US")</f>
        <v>CHD-US</v>
      </c>
      <c r="C1945" s="12"/>
      <c r="D1945" s="13">
        <f>IFERROR(__xludf.DUMMYFUNCTION("""COMPUTED_VALUE"""),45461.0)</f>
        <v>45461</v>
      </c>
      <c r="E1945" s="13">
        <f>IFERROR(__xludf.DUMMYFUNCTION("""COMPUTED_VALUE"""),45778.0)</f>
        <v>45778</v>
      </c>
      <c r="F1945" s="13">
        <f>IFERROR(__xludf.DUMMYFUNCTION("""COMPUTED_VALUE"""),45778.0)</f>
        <v>45778</v>
      </c>
      <c r="G1945" s="12"/>
      <c r="H1945" s="12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</row>
    <row r="1946">
      <c r="A1946" s="11" t="str">
        <f>IFERROR(__xludf.DUMMYFUNCTION("""COMPUTED_VALUE"""),"Dte Energy Co  Com")</f>
        <v>Dte Energy Co  Com</v>
      </c>
      <c r="B1946" s="12" t="str">
        <f>IFERROR(__xludf.DUMMYFUNCTION("""COMPUTED_VALUE"""),"DTE-US")</f>
        <v>DTE-US</v>
      </c>
      <c r="C1946" s="12"/>
      <c r="D1946" s="13">
        <f>IFERROR(__xludf.DUMMYFUNCTION("""COMPUTED_VALUE"""),45461.0)</f>
        <v>45461</v>
      </c>
      <c r="E1946" s="13">
        <f>IFERROR(__xludf.DUMMYFUNCTION("""COMPUTED_VALUE"""),45785.0)</f>
        <v>45785</v>
      </c>
      <c r="F1946" s="13">
        <f>IFERROR(__xludf.DUMMYFUNCTION("""COMPUTED_VALUE"""),45785.0)</f>
        <v>45785</v>
      </c>
      <c r="G1946" s="12"/>
      <c r="H1946" s="12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</row>
    <row r="1947">
      <c r="A1947" s="11" t="str">
        <f>IFERROR(__xludf.DUMMYFUNCTION("""COMPUTED_VALUE"""),"Carvana Co  Cl A")</f>
        <v>Carvana Co  Cl A</v>
      </c>
      <c r="B1947" s="12" t="str">
        <f>IFERROR(__xludf.DUMMYFUNCTION("""COMPUTED_VALUE"""),"CVNA-US")</f>
        <v>CVNA-US</v>
      </c>
      <c r="C1947" s="12"/>
      <c r="D1947" s="13">
        <f>IFERROR(__xludf.DUMMYFUNCTION("""COMPUTED_VALUE"""),45461.0)</f>
        <v>45461</v>
      </c>
      <c r="E1947" s="13">
        <f>IFERROR(__xludf.DUMMYFUNCTION("""COMPUTED_VALUE"""),45782.0)</f>
        <v>45782</v>
      </c>
      <c r="F1947" s="13">
        <f>IFERROR(__xludf.DUMMYFUNCTION("""COMPUTED_VALUE"""),45782.0)</f>
        <v>45782</v>
      </c>
      <c r="G1947" s="12"/>
      <c r="H1947" s="12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</row>
    <row r="1948">
      <c r="A1948" s="11" t="str">
        <f>IFERROR(__xludf.DUMMYFUNCTION("""COMPUTED_VALUE"""),"Transunion  Com")</f>
        <v>Transunion  Com</v>
      </c>
      <c r="B1948" s="12" t="str">
        <f>IFERROR(__xludf.DUMMYFUNCTION("""COMPUTED_VALUE"""),"TRU-US")</f>
        <v>TRU-US</v>
      </c>
      <c r="C1948" s="12"/>
      <c r="D1948" s="13">
        <f>IFERROR(__xludf.DUMMYFUNCTION("""COMPUTED_VALUE"""),45461.0)</f>
        <v>45461</v>
      </c>
      <c r="E1948" s="13">
        <f>IFERROR(__xludf.DUMMYFUNCTION("""COMPUTED_VALUE"""),45784.0)</f>
        <v>45784</v>
      </c>
      <c r="F1948" s="13">
        <f>IFERROR(__xludf.DUMMYFUNCTION("""COMPUTED_VALUE"""),45784.0)</f>
        <v>45784</v>
      </c>
      <c r="G1948" s="12"/>
      <c r="H1948" s="12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</row>
    <row r="1949">
      <c r="A1949" s="11" t="str">
        <f>IFERROR(__xludf.DUMMYFUNCTION("""COMPUTED_VALUE"""),"Curtiss Wright Corp  Com")</f>
        <v>Curtiss Wright Corp  Com</v>
      </c>
      <c r="B1949" s="12" t="str">
        <f>IFERROR(__xludf.DUMMYFUNCTION("""COMPUTED_VALUE"""),"CW-US")</f>
        <v>CW-US</v>
      </c>
      <c r="C1949" s="12"/>
      <c r="D1949" s="13">
        <f>IFERROR(__xludf.DUMMYFUNCTION("""COMPUTED_VALUE"""),45461.0)</f>
        <v>45461</v>
      </c>
      <c r="E1949" s="13">
        <f>IFERROR(__xludf.DUMMYFUNCTION("""COMPUTED_VALUE"""),45785.0)</f>
        <v>45785</v>
      </c>
      <c r="F1949" s="13">
        <f>IFERROR(__xludf.DUMMYFUNCTION("""COMPUTED_VALUE"""),45785.0)</f>
        <v>45785</v>
      </c>
      <c r="G1949" s="12"/>
      <c r="H1949" s="12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</row>
    <row r="1950">
      <c r="A1950" s="11" t="str">
        <f>IFERROR(__xludf.DUMMYFUNCTION("""COMPUTED_VALUE"""),"Ovintiv Inc  Com")</f>
        <v>Ovintiv Inc  Com</v>
      </c>
      <c r="B1950" s="12" t="str">
        <f>IFERROR(__xludf.DUMMYFUNCTION("""COMPUTED_VALUE"""),"OVV-US")</f>
        <v>OVV-US</v>
      </c>
      <c r="C1950" s="12"/>
      <c r="D1950" s="13">
        <f>IFERROR(__xludf.DUMMYFUNCTION("""COMPUTED_VALUE"""),45461.0)</f>
        <v>45461</v>
      </c>
      <c r="E1950" s="13">
        <f>IFERROR(__xludf.DUMMYFUNCTION("""COMPUTED_VALUE"""),45778.0)</f>
        <v>45778</v>
      </c>
      <c r="F1950" s="13">
        <f>IFERROR(__xludf.DUMMYFUNCTION("""COMPUTED_VALUE"""),45778.0)</f>
        <v>45778</v>
      </c>
      <c r="G1950" s="12"/>
      <c r="H1950" s="12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</row>
    <row r="1951">
      <c r="A1951" s="11" t="str">
        <f>IFERROR(__xludf.DUMMYFUNCTION("""COMPUTED_VALUE"""),"Eastman Chemical Co  Com")</f>
        <v>Eastman Chemical Co  Com</v>
      </c>
      <c r="B1951" s="12" t="str">
        <f>IFERROR(__xludf.DUMMYFUNCTION("""COMPUTED_VALUE"""),"EMN-US")</f>
        <v>EMN-US</v>
      </c>
      <c r="C1951" s="12"/>
      <c r="D1951" s="13">
        <f>IFERROR(__xludf.DUMMYFUNCTION("""COMPUTED_VALUE"""),45461.0)</f>
        <v>45461</v>
      </c>
      <c r="E1951" s="13">
        <f>IFERROR(__xludf.DUMMYFUNCTION("""COMPUTED_VALUE"""),45778.0)</f>
        <v>45778</v>
      </c>
      <c r="F1951" s="13">
        <f>IFERROR(__xludf.DUMMYFUNCTION("""COMPUTED_VALUE"""),45778.0)</f>
        <v>45778</v>
      </c>
      <c r="G1951" s="12"/>
      <c r="H1951" s="12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</row>
    <row r="1952">
      <c r="A1952" s="11" t="str">
        <f>IFERROR(__xludf.DUMMYFUNCTION("""COMPUTED_VALUE"""),"Crown Holdings Inc  Com")</f>
        <v>Crown Holdings Inc  Com</v>
      </c>
      <c r="B1952" s="12" t="str">
        <f>IFERROR(__xludf.DUMMYFUNCTION("""COMPUTED_VALUE"""),"CCK-US")</f>
        <v>CCK-US</v>
      </c>
      <c r="C1952" s="12"/>
      <c r="D1952" s="13">
        <f>IFERROR(__xludf.DUMMYFUNCTION("""COMPUTED_VALUE"""),45461.0)</f>
        <v>45461</v>
      </c>
      <c r="E1952" s="13">
        <f>IFERROR(__xludf.DUMMYFUNCTION("""COMPUTED_VALUE"""),45778.0)</f>
        <v>45778</v>
      </c>
      <c r="F1952" s="13">
        <f>IFERROR(__xludf.DUMMYFUNCTION("""COMPUTED_VALUE"""),45778.0)</f>
        <v>45778</v>
      </c>
      <c r="G1952" s="12"/>
      <c r="H1952" s="12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</row>
    <row r="1953">
      <c r="A1953" s="11" t="str">
        <f>IFERROR(__xludf.DUMMYFUNCTION("""COMPUTED_VALUE"""),"Encompass Health Corp  Com")</f>
        <v>Encompass Health Corp  Com</v>
      </c>
      <c r="B1953" s="12" t="str">
        <f>IFERROR(__xludf.DUMMYFUNCTION("""COMPUTED_VALUE"""),"EHC-US")</f>
        <v>EHC-US</v>
      </c>
      <c r="C1953" s="12"/>
      <c r="D1953" s="13">
        <f>IFERROR(__xludf.DUMMYFUNCTION("""COMPUTED_VALUE"""),45461.0)</f>
        <v>45461</v>
      </c>
      <c r="E1953" s="13">
        <f>IFERROR(__xludf.DUMMYFUNCTION("""COMPUTED_VALUE"""),45778.0)</f>
        <v>45778</v>
      </c>
      <c r="F1953" s="13">
        <f>IFERROR(__xludf.DUMMYFUNCTION("""COMPUTED_VALUE"""),45778.0)</f>
        <v>45778</v>
      </c>
      <c r="G1953" s="12"/>
      <c r="H1953" s="12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</row>
    <row r="1954">
      <c r="A1954" s="11" t="str">
        <f>IFERROR(__xludf.DUMMYFUNCTION("""COMPUTED_VALUE"""),"Wynn Resorts Ltd  Com")</f>
        <v>Wynn Resorts Ltd  Com</v>
      </c>
      <c r="B1954" s="12" t="str">
        <f>IFERROR(__xludf.DUMMYFUNCTION("""COMPUTED_VALUE"""),"WYNN-US")</f>
        <v>WYNN-US</v>
      </c>
      <c r="C1954" s="12"/>
      <c r="D1954" s="13">
        <f>IFERROR(__xludf.DUMMYFUNCTION("""COMPUTED_VALUE"""),45461.0)</f>
        <v>45461</v>
      </c>
      <c r="E1954" s="13">
        <f>IFERROR(__xludf.DUMMYFUNCTION("""COMPUTED_VALUE"""),45777.0)</f>
        <v>45777</v>
      </c>
      <c r="F1954" s="13">
        <f>IFERROR(__xludf.DUMMYFUNCTION("""COMPUTED_VALUE"""),45777.0)</f>
        <v>45777</v>
      </c>
      <c r="G1954" s="12"/>
      <c r="H1954" s="12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</row>
    <row r="1955">
      <c r="A1955" s="11" t="str">
        <f>IFERROR(__xludf.DUMMYFUNCTION("""COMPUTED_VALUE"""),"Genpact Ltd  Com")</f>
        <v>Genpact Ltd  Com</v>
      </c>
      <c r="B1955" s="12" t="str">
        <f>IFERROR(__xludf.DUMMYFUNCTION("""COMPUTED_VALUE"""),"G-US")</f>
        <v>G-US</v>
      </c>
      <c r="C1955" s="12"/>
      <c r="D1955" s="13">
        <f>IFERROR(__xludf.DUMMYFUNCTION("""COMPUTED_VALUE"""),45461.0)</f>
        <v>45461</v>
      </c>
      <c r="E1955" s="13">
        <f>IFERROR(__xludf.DUMMYFUNCTION("""COMPUTED_VALUE"""),45799.0)</f>
        <v>45799</v>
      </c>
      <c r="F1955" s="13">
        <f>IFERROR(__xludf.DUMMYFUNCTION("""COMPUTED_VALUE"""),45799.0)</f>
        <v>45799</v>
      </c>
      <c r="G1955" s="12"/>
      <c r="H1955" s="12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</row>
    <row r="1956">
      <c r="A1956" s="11" t="str">
        <f>IFERROR(__xludf.DUMMYFUNCTION("""COMPUTED_VALUE"""),"Rli Corp  Com")</f>
        <v>Rli Corp  Com</v>
      </c>
      <c r="B1956" s="12" t="str">
        <f>IFERROR(__xludf.DUMMYFUNCTION("""COMPUTED_VALUE"""),"RLI-US")</f>
        <v>RLI-US</v>
      </c>
      <c r="C1956" s="12"/>
      <c r="D1956" s="13">
        <f>IFERROR(__xludf.DUMMYFUNCTION("""COMPUTED_VALUE"""),45461.0)</f>
        <v>45461</v>
      </c>
      <c r="E1956" s="13">
        <f>IFERROR(__xludf.DUMMYFUNCTION("""COMPUTED_VALUE"""),45790.0)</f>
        <v>45790</v>
      </c>
      <c r="F1956" s="13">
        <f>IFERROR(__xludf.DUMMYFUNCTION("""COMPUTED_VALUE"""),45790.0)</f>
        <v>45790</v>
      </c>
      <c r="G1956" s="12"/>
      <c r="H1956" s="12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</row>
    <row r="1957">
      <c r="A1957" s="11" t="str">
        <f>IFERROR(__xludf.DUMMYFUNCTION("""COMPUTED_VALUE"""),"Inspire Medical Systems Inc  Com")</f>
        <v>Inspire Medical Systems Inc  Com</v>
      </c>
      <c r="B1957" s="12" t="str">
        <f>IFERROR(__xludf.DUMMYFUNCTION("""COMPUTED_VALUE"""),"INSP-US")</f>
        <v>INSP-US</v>
      </c>
      <c r="C1957" s="12"/>
      <c r="D1957" s="13">
        <f>IFERROR(__xludf.DUMMYFUNCTION("""COMPUTED_VALUE"""),45461.0)</f>
        <v>45461</v>
      </c>
      <c r="E1957" s="13">
        <f>IFERROR(__xludf.DUMMYFUNCTION("""COMPUTED_VALUE"""),45778.0)</f>
        <v>45778</v>
      </c>
      <c r="F1957" s="13">
        <f>IFERROR(__xludf.DUMMYFUNCTION("""COMPUTED_VALUE"""),45778.0)</f>
        <v>45778</v>
      </c>
      <c r="G1957" s="12"/>
      <c r="H1957" s="12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</row>
    <row r="1958">
      <c r="A1958" s="11" t="str">
        <f>IFERROR(__xludf.DUMMYFUNCTION("""COMPUTED_VALUE"""),"Hexcel Corp  Com")</f>
        <v>Hexcel Corp  Com</v>
      </c>
      <c r="B1958" s="12" t="str">
        <f>IFERROR(__xludf.DUMMYFUNCTION("""COMPUTED_VALUE"""),"HXL-US")</f>
        <v>HXL-US</v>
      </c>
      <c r="C1958" s="12"/>
      <c r="D1958" s="13">
        <f>IFERROR(__xludf.DUMMYFUNCTION("""COMPUTED_VALUE"""),45461.0)</f>
        <v>45461</v>
      </c>
      <c r="E1958" s="13">
        <f>IFERROR(__xludf.DUMMYFUNCTION("""COMPUTED_VALUE"""),45785.0)</f>
        <v>45785</v>
      </c>
      <c r="F1958" s="13">
        <f>IFERROR(__xludf.DUMMYFUNCTION("""COMPUTED_VALUE"""),45785.0)</f>
        <v>45785</v>
      </c>
      <c r="G1958" s="12"/>
      <c r="H1958" s="12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</row>
    <row r="1959">
      <c r="A1959" s="11" t="str">
        <f>IFERROR(__xludf.DUMMYFUNCTION("""COMPUTED_VALUE"""),"Zurn Elkay Water Solutions Corp  Com")</f>
        <v>Zurn Elkay Water Solutions Corp  Com</v>
      </c>
      <c r="B1959" s="12" t="str">
        <f>IFERROR(__xludf.DUMMYFUNCTION("""COMPUTED_VALUE"""),"ZWS-US")</f>
        <v>ZWS-US</v>
      </c>
      <c r="C1959" s="12"/>
      <c r="D1959" s="13">
        <f>IFERROR(__xludf.DUMMYFUNCTION("""COMPUTED_VALUE"""),45462.0)</f>
        <v>45462</v>
      </c>
      <c r="E1959" s="13">
        <f>IFERROR(__xludf.DUMMYFUNCTION("""COMPUTED_VALUE"""),45778.0)</f>
        <v>45778</v>
      </c>
      <c r="F1959" s="13">
        <f>IFERROR(__xludf.DUMMYFUNCTION("""COMPUTED_VALUE"""),45778.0)</f>
        <v>45778</v>
      </c>
      <c r="G1959" s="12"/>
      <c r="H1959" s="12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</row>
    <row r="1960">
      <c r="A1960" s="11" t="str">
        <f>IFERROR(__xludf.DUMMYFUNCTION("""COMPUTED_VALUE"""),"Assured Guaranty Ltd  Com")</f>
        <v>Assured Guaranty Ltd  Com</v>
      </c>
      <c r="B1960" s="12" t="str">
        <f>IFERROR(__xludf.DUMMYFUNCTION("""COMPUTED_VALUE"""),"AGO-US")</f>
        <v>AGO-US</v>
      </c>
      <c r="C1960" s="12"/>
      <c r="D1960" s="13">
        <f>IFERROR(__xludf.DUMMYFUNCTION("""COMPUTED_VALUE"""),45462.0)</f>
        <v>45462</v>
      </c>
      <c r="E1960" s="13">
        <f>IFERROR(__xludf.DUMMYFUNCTION("""COMPUTED_VALUE"""),45779.0)</f>
        <v>45779</v>
      </c>
      <c r="F1960" s="13">
        <f>IFERROR(__xludf.DUMMYFUNCTION("""COMPUTED_VALUE"""),45779.0)</f>
        <v>45779</v>
      </c>
      <c r="G1960" s="12"/>
      <c r="H1960" s="12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</row>
    <row r="1961">
      <c r="A1961" s="11" t="str">
        <f>IFERROR(__xludf.DUMMYFUNCTION("""COMPUTED_VALUE"""),"Boise Cascade Co  Com")</f>
        <v>Boise Cascade Co  Com</v>
      </c>
      <c r="B1961" s="12" t="str">
        <f>IFERROR(__xludf.DUMMYFUNCTION("""COMPUTED_VALUE"""),"BCC-US")</f>
        <v>BCC-US</v>
      </c>
      <c r="C1961" s="12"/>
      <c r="D1961" s="13">
        <f>IFERROR(__xludf.DUMMYFUNCTION("""COMPUTED_VALUE"""),45462.0)</f>
        <v>45462</v>
      </c>
      <c r="E1961" s="13">
        <f>IFERROR(__xludf.DUMMYFUNCTION("""COMPUTED_VALUE"""),45778.0)</f>
        <v>45778</v>
      </c>
      <c r="F1961" s="13">
        <f>IFERROR(__xludf.DUMMYFUNCTION("""COMPUTED_VALUE"""),45778.0)</f>
        <v>45778</v>
      </c>
      <c r="G1961" s="12"/>
      <c r="H1961" s="12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</row>
    <row r="1962">
      <c r="A1962" s="11" t="str">
        <f>IFERROR(__xludf.DUMMYFUNCTION("""COMPUTED_VALUE"""),"Cnx Resources Corp  Com")</f>
        <v>Cnx Resources Corp  Com</v>
      </c>
      <c r="B1962" s="12" t="str">
        <f>IFERROR(__xludf.DUMMYFUNCTION("""COMPUTED_VALUE"""),"CNX-US")</f>
        <v>CNX-US</v>
      </c>
      <c r="C1962" s="12"/>
      <c r="D1962" s="13">
        <f>IFERROR(__xludf.DUMMYFUNCTION("""COMPUTED_VALUE"""),45463.0)</f>
        <v>45463</v>
      </c>
      <c r="E1962" s="13">
        <f>IFERROR(__xludf.DUMMYFUNCTION("""COMPUTED_VALUE"""),45778.0)</f>
        <v>45778</v>
      </c>
      <c r="F1962" s="13">
        <f>IFERROR(__xludf.DUMMYFUNCTION("""COMPUTED_VALUE"""),45778.0)</f>
        <v>45778</v>
      </c>
      <c r="G1962" s="12"/>
      <c r="H1962" s="12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</row>
    <row r="1963">
      <c r="A1963" s="11" t="str">
        <f>IFERROR(__xludf.DUMMYFUNCTION("""COMPUTED_VALUE"""),"Southwest Gas Holdings Inc  Com")</f>
        <v>Southwest Gas Holdings Inc  Com</v>
      </c>
      <c r="B1963" s="12" t="str">
        <f>IFERROR(__xludf.DUMMYFUNCTION("""COMPUTED_VALUE"""),"SWX-US")</f>
        <v>SWX-US</v>
      </c>
      <c r="C1963" s="12"/>
      <c r="D1963" s="13">
        <f>IFERROR(__xludf.DUMMYFUNCTION("""COMPUTED_VALUE"""),45463.0)</f>
        <v>45463</v>
      </c>
      <c r="E1963" s="13">
        <f>IFERROR(__xludf.DUMMYFUNCTION("""COMPUTED_VALUE"""),45778.0)</f>
        <v>45778</v>
      </c>
      <c r="F1963" s="13">
        <f>IFERROR(__xludf.DUMMYFUNCTION("""COMPUTED_VALUE"""),45778.0)</f>
        <v>45778</v>
      </c>
      <c r="G1963" s="12"/>
      <c r="H1963" s="12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</row>
    <row r="1964">
      <c r="A1964" s="11" t="str">
        <f>IFERROR(__xludf.DUMMYFUNCTION("""COMPUTED_VALUE"""),"Brinks Co  Com")</f>
        <v>Brinks Co  Com</v>
      </c>
      <c r="B1964" s="12" t="str">
        <f>IFERROR(__xludf.DUMMYFUNCTION("""COMPUTED_VALUE"""),"BCO-US")</f>
        <v>BCO-US</v>
      </c>
      <c r="C1964" s="12"/>
      <c r="D1964" s="13">
        <f>IFERROR(__xludf.DUMMYFUNCTION("""COMPUTED_VALUE"""),45463.0)</f>
        <v>45463</v>
      </c>
      <c r="E1964" s="13">
        <f>IFERROR(__xludf.DUMMYFUNCTION("""COMPUTED_VALUE"""),45785.0)</f>
        <v>45785</v>
      </c>
      <c r="F1964" s="13">
        <f>IFERROR(__xludf.DUMMYFUNCTION("""COMPUTED_VALUE"""),45785.0)</f>
        <v>45785</v>
      </c>
      <c r="G1964" s="12"/>
      <c r="H1964" s="12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</row>
    <row r="1965">
      <c r="A1965" s="11" t="str">
        <f>IFERROR(__xludf.DUMMYFUNCTION("""COMPUTED_VALUE"""),"Enpro Inc  Com")</f>
        <v>Enpro Inc  Com</v>
      </c>
      <c r="B1965" s="12" t="str">
        <f>IFERROR(__xludf.DUMMYFUNCTION("""COMPUTED_VALUE"""),"NPO-US")</f>
        <v>NPO-US</v>
      </c>
      <c r="C1965" s="12"/>
      <c r="D1965" s="13">
        <f>IFERROR(__xludf.DUMMYFUNCTION("""COMPUTED_VALUE"""),45463.0)</f>
        <v>45463</v>
      </c>
      <c r="E1965" s="13">
        <f>IFERROR(__xludf.DUMMYFUNCTION("""COMPUTED_VALUE"""),45777.0)</f>
        <v>45777</v>
      </c>
      <c r="F1965" s="13">
        <f>IFERROR(__xludf.DUMMYFUNCTION("""COMPUTED_VALUE"""),45777.0)</f>
        <v>45777</v>
      </c>
      <c r="G1965" s="12"/>
      <c r="H1965" s="12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</row>
    <row r="1966">
      <c r="A1966" s="11" t="str">
        <f>IFERROR(__xludf.DUMMYFUNCTION("""COMPUTED_VALUE"""),"Perrigo Co Plc  Com")</f>
        <v>Perrigo Co Plc  Com</v>
      </c>
      <c r="B1966" s="12" t="str">
        <f>IFERROR(__xludf.DUMMYFUNCTION("""COMPUTED_VALUE"""),"PRGO-US")</f>
        <v>PRGO-US</v>
      </c>
      <c r="C1966" s="12"/>
      <c r="D1966" s="13">
        <f>IFERROR(__xludf.DUMMYFUNCTION("""COMPUTED_VALUE"""),45463.0)</f>
        <v>45463</v>
      </c>
      <c r="E1966" s="13">
        <f>IFERROR(__xludf.DUMMYFUNCTION("""COMPUTED_VALUE"""),45778.0)</f>
        <v>45778</v>
      </c>
      <c r="F1966" s="13">
        <f>IFERROR(__xludf.DUMMYFUNCTION("""COMPUTED_VALUE"""),45778.0)</f>
        <v>45778</v>
      </c>
      <c r="G1966" s="12"/>
      <c r="H1966" s="12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</row>
    <row r="1967">
      <c r="A1967" s="11" t="str">
        <f>IFERROR(__xludf.DUMMYFUNCTION("""COMPUTED_VALUE"""),"Walker &amp; Dunlop Inc  Com")</f>
        <v>Walker &amp; Dunlop Inc  Com</v>
      </c>
      <c r="B1967" s="12" t="str">
        <f>IFERROR(__xludf.DUMMYFUNCTION("""COMPUTED_VALUE"""),"WD-US")</f>
        <v>WD-US</v>
      </c>
      <c r="C1967" s="12"/>
      <c r="D1967" s="13">
        <f>IFERROR(__xludf.DUMMYFUNCTION("""COMPUTED_VALUE"""),45463.0)</f>
        <v>45463</v>
      </c>
      <c r="E1967" s="13">
        <f>IFERROR(__xludf.DUMMYFUNCTION("""COMPUTED_VALUE"""),45778.0)</f>
        <v>45778</v>
      </c>
      <c r="F1967" s="13">
        <f>IFERROR(__xludf.DUMMYFUNCTION("""COMPUTED_VALUE"""),45778.0)</f>
        <v>45778</v>
      </c>
      <c r="G1967" s="12"/>
      <c r="H1967" s="12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</row>
    <row r="1968">
      <c r="A1968" s="11" t="str">
        <f>IFERROR(__xludf.DUMMYFUNCTION("""COMPUTED_VALUE"""),"Huntsman Corp  Com")</f>
        <v>Huntsman Corp  Com</v>
      </c>
      <c r="B1968" s="12" t="str">
        <f>IFERROR(__xludf.DUMMYFUNCTION("""COMPUTED_VALUE"""),"HUN-US")</f>
        <v>HUN-US</v>
      </c>
      <c r="C1968" s="12"/>
      <c r="D1968" s="13">
        <f>IFERROR(__xludf.DUMMYFUNCTION("""COMPUTED_VALUE"""),45463.0)</f>
        <v>45463</v>
      </c>
      <c r="E1968" s="13">
        <f>IFERROR(__xludf.DUMMYFUNCTION("""COMPUTED_VALUE"""),45777.0)</f>
        <v>45777</v>
      </c>
      <c r="F1968" s="13">
        <f>IFERROR(__xludf.DUMMYFUNCTION("""COMPUTED_VALUE"""),45777.0)</f>
        <v>45777</v>
      </c>
      <c r="G1968" s="12"/>
      <c r="H1968" s="12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</row>
    <row r="1969">
      <c r="A1969" s="11" t="str">
        <f>IFERROR(__xludf.DUMMYFUNCTION("""COMPUTED_VALUE"""),"Acadia Realty Trust  Sbi")</f>
        <v>Acadia Realty Trust  Sbi</v>
      </c>
      <c r="B1969" s="12" t="str">
        <f>IFERROR(__xludf.DUMMYFUNCTION("""COMPUTED_VALUE"""),"AKR-US")</f>
        <v>AKR-US</v>
      </c>
      <c r="C1969" s="12"/>
      <c r="D1969" s="13">
        <f>IFERROR(__xludf.DUMMYFUNCTION("""COMPUTED_VALUE"""),45463.0)</f>
        <v>45463</v>
      </c>
      <c r="E1969" s="13">
        <f>IFERROR(__xludf.DUMMYFUNCTION("""COMPUTED_VALUE"""),45785.0)</f>
        <v>45785</v>
      </c>
      <c r="F1969" s="13">
        <f>IFERROR(__xludf.DUMMYFUNCTION("""COMPUTED_VALUE"""),45785.0)</f>
        <v>45785</v>
      </c>
      <c r="G1969" s="12"/>
      <c r="H1969" s="12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</row>
    <row r="1970">
      <c r="A1970" s="11" t="str">
        <f>IFERROR(__xludf.DUMMYFUNCTION("""COMPUTED_VALUE"""),"Broadstone Net Lease Inc  Com")</f>
        <v>Broadstone Net Lease Inc  Com</v>
      </c>
      <c r="B1970" s="12" t="str">
        <f>IFERROR(__xludf.DUMMYFUNCTION("""COMPUTED_VALUE"""),"BNL-US")</f>
        <v>BNL-US</v>
      </c>
      <c r="C1970" s="12"/>
      <c r="D1970" s="13">
        <f>IFERROR(__xludf.DUMMYFUNCTION("""COMPUTED_VALUE"""),45463.0)</f>
        <v>45463</v>
      </c>
      <c r="E1970" s="13">
        <f>IFERROR(__xludf.DUMMYFUNCTION("""COMPUTED_VALUE"""),45778.0)</f>
        <v>45778</v>
      </c>
      <c r="F1970" s="13">
        <f>IFERROR(__xludf.DUMMYFUNCTION("""COMPUTED_VALUE"""),45778.0)</f>
        <v>45778</v>
      </c>
      <c r="G1970" s="12"/>
      <c r="H1970" s="12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</row>
    <row r="1971">
      <c r="A1971" s="11" t="str">
        <f>IFERROR(__xludf.DUMMYFUNCTION("""COMPUTED_VALUE"""),"Cohen &amp; Steers Inc  Com")</f>
        <v>Cohen &amp; Steers Inc  Com</v>
      </c>
      <c r="B1971" s="12" t="str">
        <f>IFERROR(__xludf.DUMMYFUNCTION("""COMPUTED_VALUE"""),"CNS-US")</f>
        <v>CNS-US</v>
      </c>
      <c r="C1971" s="12"/>
      <c r="D1971" s="13">
        <f>IFERROR(__xludf.DUMMYFUNCTION("""COMPUTED_VALUE"""),45463.0)</f>
        <v>45463</v>
      </c>
      <c r="E1971" s="13">
        <f>IFERROR(__xludf.DUMMYFUNCTION("""COMPUTED_VALUE"""),45778.0)</f>
        <v>45778</v>
      </c>
      <c r="F1971" s="13">
        <f>IFERROR(__xludf.DUMMYFUNCTION("""COMPUTED_VALUE"""),45778.0)</f>
        <v>45778</v>
      </c>
      <c r="G1971" s="12"/>
      <c r="H1971" s="12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</row>
    <row r="1972">
      <c r="A1972" s="11" t="str">
        <f>IFERROR(__xludf.DUMMYFUNCTION("""COMPUTED_VALUE"""),"Alpha Metallurgical Resources  Com")</f>
        <v>Alpha Metallurgical Resources  Com</v>
      </c>
      <c r="B1972" s="12" t="str">
        <f>IFERROR(__xludf.DUMMYFUNCTION("""COMPUTED_VALUE"""),"AMR-US")</f>
        <v>AMR-US</v>
      </c>
      <c r="C1972" s="12"/>
      <c r="D1972" s="13">
        <f>IFERROR(__xludf.DUMMYFUNCTION("""COMPUTED_VALUE"""),45463.0)</f>
        <v>45463</v>
      </c>
      <c r="E1972" s="13">
        <f>IFERROR(__xludf.DUMMYFUNCTION("""COMPUTED_VALUE"""),45784.0)</f>
        <v>45784</v>
      </c>
      <c r="F1972" s="13">
        <f>IFERROR(__xludf.DUMMYFUNCTION("""COMPUTED_VALUE"""),45784.0)</f>
        <v>45784</v>
      </c>
      <c r="G1972" s="12"/>
      <c r="H1972" s="12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</row>
    <row r="1973">
      <c r="A1973" s="11" t="str">
        <f>IFERROR(__xludf.DUMMYFUNCTION("""COMPUTED_VALUE"""),"Wolverine World Wide Inc  Com")</f>
        <v>Wolverine World Wide Inc  Com</v>
      </c>
      <c r="B1973" s="12" t="str">
        <f>IFERROR(__xludf.DUMMYFUNCTION("""COMPUTED_VALUE"""),"WWW-US")</f>
        <v>WWW-US</v>
      </c>
      <c r="C1973" s="12"/>
      <c r="D1973" s="13">
        <f>IFERROR(__xludf.DUMMYFUNCTION("""COMPUTED_VALUE"""),45463.0)</f>
        <v>45463</v>
      </c>
      <c r="E1973" s="13">
        <f>IFERROR(__xludf.DUMMYFUNCTION("""COMPUTED_VALUE"""),45778.0)</f>
        <v>45778</v>
      </c>
      <c r="F1973" s="13">
        <f>IFERROR(__xludf.DUMMYFUNCTION("""COMPUTED_VALUE"""),45778.0)</f>
        <v>45778</v>
      </c>
      <c r="G1973" s="12"/>
      <c r="H1973" s="12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</row>
    <row r="1974">
      <c r="A1974" s="11" t="str">
        <f>IFERROR(__xludf.DUMMYFUNCTION("""COMPUTED_VALUE"""),"Alamo Group Inc  Com")</f>
        <v>Alamo Group Inc  Com</v>
      </c>
      <c r="B1974" s="12" t="str">
        <f>IFERROR(__xludf.DUMMYFUNCTION("""COMPUTED_VALUE"""),"ALG-US")</f>
        <v>ALG-US</v>
      </c>
      <c r="C1974" s="12"/>
      <c r="D1974" s="13">
        <f>IFERROR(__xludf.DUMMYFUNCTION("""COMPUTED_VALUE"""),45463.0)</f>
        <v>45463</v>
      </c>
      <c r="E1974" s="13">
        <f>IFERROR(__xludf.DUMMYFUNCTION("""COMPUTED_VALUE"""),45785.0)</f>
        <v>45785</v>
      </c>
      <c r="F1974" s="13">
        <f>IFERROR(__xludf.DUMMYFUNCTION("""COMPUTED_VALUE"""),45785.0)</f>
        <v>45785</v>
      </c>
      <c r="G1974" s="12"/>
      <c r="H1974" s="12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</row>
    <row r="1975">
      <c r="A1975" s="11" t="str">
        <f>IFERROR(__xludf.DUMMYFUNCTION("""COMPUTED_VALUE"""),"Us Lime &amp; Minerals Inc  Com")</f>
        <v>Us Lime &amp; Minerals Inc  Com</v>
      </c>
      <c r="B1975" s="12" t="str">
        <f>IFERROR(__xludf.DUMMYFUNCTION("""COMPUTED_VALUE"""),"USLM-US")</f>
        <v>USLM-US</v>
      </c>
      <c r="C1975" s="12"/>
      <c r="D1975" s="13">
        <f>IFERROR(__xludf.DUMMYFUNCTION("""COMPUTED_VALUE"""),45463.0)</f>
        <v>45463</v>
      </c>
      <c r="E1975" s="13">
        <f>IFERROR(__xludf.DUMMYFUNCTION("""COMPUTED_VALUE"""),45779.0)</f>
        <v>45779</v>
      </c>
      <c r="F1975" s="13">
        <f>IFERROR(__xludf.DUMMYFUNCTION("""COMPUTED_VALUE"""),45779.0)</f>
        <v>45779</v>
      </c>
      <c r="G1975" s="12"/>
      <c r="H1975" s="12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</row>
    <row r="1976">
      <c r="A1976" s="11" t="str">
        <f>IFERROR(__xludf.DUMMYFUNCTION("""COMPUTED_VALUE"""),"Westamerica Bancorporation  Com")</f>
        <v>Westamerica Bancorporation  Com</v>
      </c>
      <c r="B1976" s="12" t="str">
        <f>IFERROR(__xludf.DUMMYFUNCTION("""COMPUTED_VALUE"""),"WABC-US")</f>
        <v>WABC-US</v>
      </c>
      <c r="C1976" s="12"/>
      <c r="D1976" s="13">
        <f>IFERROR(__xludf.DUMMYFUNCTION("""COMPUTED_VALUE"""),45463.0)</f>
        <v>45463</v>
      </c>
      <c r="E1976" s="13">
        <f>IFERROR(__xludf.DUMMYFUNCTION("""COMPUTED_VALUE"""),45771.0)</f>
        <v>45771</v>
      </c>
      <c r="F1976" s="13">
        <f>IFERROR(__xludf.DUMMYFUNCTION("""COMPUTED_VALUE"""),45771.0)</f>
        <v>45771</v>
      </c>
      <c r="G1976" s="12"/>
      <c r="H1976" s="12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</row>
    <row r="1977">
      <c r="A1977" s="11" t="str">
        <f>IFERROR(__xludf.DUMMYFUNCTION("""COMPUTED_VALUE"""),"First Bancorp/Nc/  Com")</f>
        <v>First Bancorp/Nc/  Com</v>
      </c>
      <c r="B1977" s="12" t="str">
        <f>IFERROR(__xludf.DUMMYFUNCTION("""COMPUTED_VALUE"""),"FBNC-US")</f>
        <v>FBNC-US</v>
      </c>
      <c r="C1977" s="12"/>
      <c r="D1977" s="13">
        <f>IFERROR(__xludf.DUMMYFUNCTION("""COMPUTED_VALUE"""),45463.0)</f>
        <v>45463</v>
      </c>
      <c r="E1977" s="13">
        <f>IFERROR(__xludf.DUMMYFUNCTION("""COMPUTED_VALUE"""),45776.0)</f>
        <v>45776</v>
      </c>
      <c r="F1977" s="13">
        <f>IFERROR(__xludf.DUMMYFUNCTION("""COMPUTED_VALUE"""),45776.0)</f>
        <v>45776</v>
      </c>
      <c r="G1977" s="12"/>
      <c r="H1977" s="12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</row>
    <row r="1978">
      <c r="A1978" s="11" t="str">
        <f>IFERROR(__xludf.DUMMYFUNCTION("""COMPUTED_VALUE"""),"Amneal Pharmaceuticals Inc  Cl A")</f>
        <v>Amneal Pharmaceuticals Inc  Cl A</v>
      </c>
      <c r="B1978" s="12" t="str">
        <f>IFERROR(__xludf.DUMMYFUNCTION("""COMPUTED_VALUE"""),"AMRX-US")</f>
        <v>AMRX-US</v>
      </c>
      <c r="C1978" s="12"/>
      <c r="D1978" s="13">
        <f>IFERROR(__xludf.DUMMYFUNCTION("""COMPUTED_VALUE"""),45463.0)</f>
        <v>45463</v>
      </c>
      <c r="E1978" s="13">
        <f>IFERROR(__xludf.DUMMYFUNCTION("""COMPUTED_VALUE"""),45783.0)</f>
        <v>45783</v>
      </c>
      <c r="F1978" s="13">
        <f>IFERROR(__xludf.DUMMYFUNCTION("""COMPUTED_VALUE"""),45783.0)</f>
        <v>45783</v>
      </c>
      <c r="G1978" s="12"/>
      <c r="H1978" s="12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</row>
    <row r="1979">
      <c r="A1979" s="11" t="str">
        <f>IFERROR(__xludf.DUMMYFUNCTION("""COMPUTED_VALUE"""),"Papa Johns International Inc  Com")</f>
        <v>Papa Johns International Inc  Com</v>
      </c>
      <c r="B1979" s="12" t="str">
        <f>IFERROR(__xludf.DUMMYFUNCTION("""COMPUTED_VALUE"""),"PZZA-US")</f>
        <v>PZZA-US</v>
      </c>
      <c r="C1979" s="12"/>
      <c r="D1979" s="13">
        <f>IFERROR(__xludf.DUMMYFUNCTION("""COMPUTED_VALUE"""),45463.0)</f>
        <v>45463</v>
      </c>
      <c r="E1979" s="13">
        <f>IFERROR(__xludf.DUMMYFUNCTION("""COMPUTED_VALUE"""),45778.0)</f>
        <v>45778</v>
      </c>
      <c r="F1979" s="13">
        <f>IFERROR(__xludf.DUMMYFUNCTION("""COMPUTED_VALUE"""),45778.0)</f>
        <v>45778</v>
      </c>
      <c r="G1979" s="12"/>
      <c r="H1979" s="12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</row>
    <row r="1980">
      <c r="A1980" s="11" t="str">
        <f>IFERROR(__xludf.DUMMYFUNCTION("""COMPUTED_VALUE"""),"Delek Us Holdings Inc  Com")</f>
        <v>Delek Us Holdings Inc  Com</v>
      </c>
      <c r="B1980" s="12" t="str">
        <f>IFERROR(__xludf.DUMMYFUNCTION("""COMPUTED_VALUE"""),"DK-US")</f>
        <v>DK-US</v>
      </c>
      <c r="C1980" s="12"/>
      <c r="D1980" s="13">
        <f>IFERROR(__xludf.DUMMYFUNCTION("""COMPUTED_VALUE"""),45463.0)</f>
        <v>45463</v>
      </c>
      <c r="E1980" s="13">
        <f>IFERROR(__xludf.DUMMYFUNCTION("""COMPUTED_VALUE"""),45776.0)</f>
        <v>45776</v>
      </c>
      <c r="F1980" s="13">
        <f>IFERROR(__xludf.DUMMYFUNCTION("""COMPUTED_VALUE"""),45776.0)</f>
        <v>45776</v>
      </c>
      <c r="G1980" s="12"/>
      <c r="H1980" s="12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</row>
    <row r="1981">
      <c r="A1981" s="11" t="str">
        <f>IFERROR(__xludf.DUMMYFUNCTION("""COMPUTED_VALUE"""),"Weis Markets Inc  Com")</f>
        <v>Weis Markets Inc  Com</v>
      </c>
      <c r="B1981" s="12" t="str">
        <f>IFERROR(__xludf.DUMMYFUNCTION("""COMPUTED_VALUE"""),"WMK-US")</f>
        <v>WMK-US</v>
      </c>
      <c r="C1981" s="12"/>
      <c r="D1981" s="13">
        <f>IFERROR(__xludf.DUMMYFUNCTION("""COMPUTED_VALUE"""),45463.0)</f>
        <v>45463</v>
      </c>
      <c r="E1981" s="13">
        <f>IFERROR(__xludf.DUMMYFUNCTION("""COMPUTED_VALUE"""),45778.0)</f>
        <v>45778</v>
      </c>
      <c r="F1981" s="13">
        <f>IFERROR(__xludf.DUMMYFUNCTION("""COMPUTED_VALUE"""),45778.0)</f>
        <v>45778</v>
      </c>
      <c r="G1981" s="12"/>
      <c r="H1981" s="12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</row>
    <row r="1982">
      <c r="A1982" s="11" t="str">
        <f>IFERROR(__xludf.DUMMYFUNCTION("""COMPUTED_VALUE"""),"Wk Kellogg Co  Com")</f>
        <v>Wk Kellogg Co  Com</v>
      </c>
      <c r="B1982" s="12" t="str">
        <f>IFERROR(__xludf.DUMMYFUNCTION("""COMPUTED_VALUE"""),"KLG-US")</f>
        <v>KLG-US</v>
      </c>
      <c r="C1982" s="12"/>
      <c r="D1982" s="13">
        <f>IFERROR(__xludf.DUMMYFUNCTION("""COMPUTED_VALUE"""),45463.0)</f>
        <v>45463</v>
      </c>
      <c r="E1982" s="13">
        <f>IFERROR(__xludf.DUMMYFUNCTION("""COMPUTED_VALUE"""),45778.0)</f>
        <v>45778</v>
      </c>
      <c r="F1982" s="13">
        <f>IFERROR(__xludf.DUMMYFUNCTION("""COMPUTED_VALUE"""),45778.0)</f>
        <v>45778</v>
      </c>
      <c r="G1982" s="12"/>
      <c r="H1982" s="12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</row>
    <row r="1983">
      <c r="A1983" s="11" t="str">
        <f>IFERROR(__xludf.DUMMYFUNCTION("""COMPUTED_VALUE"""),"Cipher Mining Inc  Com")</f>
        <v>Cipher Mining Inc  Com</v>
      </c>
      <c r="B1983" s="12" t="str">
        <f>IFERROR(__xludf.DUMMYFUNCTION("""COMPUTED_VALUE"""),"CIFR-US")</f>
        <v>CIFR-US</v>
      </c>
      <c r="C1983" s="12"/>
      <c r="D1983" s="13">
        <f>IFERROR(__xludf.DUMMYFUNCTION("""COMPUTED_VALUE"""),45463.0)</f>
        <v>45463</v>
      </c>
      <c r="E1983" s="13">
        <f>IFERROR(__xludf.DUMMYFUNCTION("""COMPUTED_VALUE"""),45811.0)</f>
        <v>45811</v>
      </c>
      <c r="F1983" s="13">
        <f>IFERROR(__xludf.DUMMYFUNCTION("""COMPUTED_VALUE"""),45811.0)</f>
        <v>45811</v>
      </c>
      <c r="G1983" s="12"/>
      <c r="H1983" s="12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</row>
    <row r="1984">
      <c r="A1984" s="11" t="str">
        <f>IFERROR(__xludf.DUMMYFUNCTION("""COMPUTED_VALUE"""),"Shoals Technologies Group Inc  Cl A")</f>
        <v>Shoals Technologies Group Inc  Cl A</v>
      </c>
      <c r="B1984" s="12" t="str">
        <f>IFERROR(__xludf.DUMMYFUNCTION("""COMPUTED_VALUE"""),"SHLS-US")</f>
        <v>SHLS-US</v>
      </c>
      <c r="C1984" s="12"/>
      <c r="D1984" s="13">
        <f>IFERROR(__xludf.DUMMYFUNCTION("""COMPUTED_VALUE"""),45463.0)</f>
        <v>45463</v>
      </c>
      <c r="E1984" s="13">
        <f>IFERROR(__xludf.DUMMYFUNCTION("""COMPUTED_VALUE"""),45778.0)</f>
        <v>45778</v>
      </c>
      <c r="F1984" s="13">
        <f>IFERROR(__xludf.DUMMYFUNCTION("""COMPUTED_VALUE"""),45778.0)</f>
        <v>45778</v>
      </c>
      <c r="G1984" s="12"/>
      <c r="H1984" s="12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</row>
    <row r="1985">
      <c r="A1985" s="11" t="str">
        <f>IFERROR(__xludf.DUMMYFUNCTION("""COMPUTED_VALUE"""),"Hackett Group Inc  Com")</f>
        <v>Hackett Group Inc  Com</v>
      </c>
      <c r="B1985" s="12" t="str">
        <f>IFERROR(__xludf.DUMMYFUNCTION("""COMPUTED_VALUE"""),"HCKT-US")</f>
        <v>HCKT-US</v>
      </c>
      <c r="C1985" s="12"/>
      <c r="D1985" s="13">
        <f>IFERROR(__xludf.DUMMYFUNCTION("""COMPUTED_VALUE"""),45463.0)</f>
        <v>45463</v>
      </c>
      <c r="E1985" s="13">
        <f>IFERROR(__xludf.DUMMYFUNCTION("""COMPUTED_VALUE"""),45778.0)</f>
        <v>45778</v>
      </c>
      <c r="F1985" s="13">
        <f>IFERROR(__xludf.DUMMYFUNCTION("""COMPUTED_VALUE"""),45778.0)</f>
        <v>45778</v>
      </c>
      <c r="G1985" s="12"/>
      <c r="H1985" s="12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</row>
    <row r="1986">
      <c r="A1986" s="11" t="str">
        <f>IFERROR(__xludf.DUMMYFUNCTION("""COMPUTED_VALUE"""),"Marcus &amp; Millichap Inc  Com")</f>
        <v>Marcus &amp; Millichap Inc  Com</v>
      </c>
      <c r="B1986" s="12" t="str">
        <f>IFERROR(__xludf.DUMMYFUNCTION("""COMPUTED_VALUE"""),"MMI-US")</f>
        <v>MMI-US</v>
      </c>
      <c r="C1986" s="12"/>
      <c r="D1986" s="13">
        <f>IFERROR(__xludf.DUMMYFUNCTION("""COMPUTED_VALUE"""),45463.0)</f>
        <v>45463</v>
      </c>
      <c r="E1986" s="13">
        <f>IFERROR(__xludf.DUMMYFUNCTION("""COMPUTED_VALUE"""),45778.0)</f>
        <v>45778</v>
      </c>
      <c r="F1986" s="13">
        <f>IFERROR(__xludf.DUMMYFUNCTION("""COMPUTED_VALUE"""),45778.0)</f>
        <v>45778</v>
      </c>
      <c r="G1986" s="12"/>
      <c r="H1986" s="12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</row>
    <row r="1987">
      <c r="A1987" s="11" t="str">
        <f>IFERROR(__xludf.DUMMYFUNCTION("""COMPUTED_VALUE"""),"American Axle &amp; Mfg Holdings  Com")</f>
        <v>American Axle &amp; Mfg Holdings  Com</v>
      </c>
      <c r="B1987" s="12" t="str">
        <f>IFERROR(__xludf.DUMMYFUNCTION("""COMPUTED_VALUE"""),"AXL-US")</f>
        <v>AXL-US</v>
      </c>
      <c r="C1987" s="12"/>
      <c r="D1987" s="13">
        <f>IFERROR(__xludf.DUMMYFUNCTION("""COMPUTED_VALUE"""),45463.0)</f>
        <v>45463</v>
      </c>
      <c r="E1987" s="13">
        <f>IFERROR(__xludf.DUMMYFUNCTION("""COMPUTED_VALUE"""),45778.0)</f>
        <v>45778</v>
      </c>
      <c r="F1987" s="13">
        <f>IFERROR(__xludf.DUMMYFUNCTION("""COMPUTED_VALUE"""),45778.0)</f>
        <v>45778</v>
      </c>
      <c r="G1987" s="12"/>
      <c r="H1987" s="12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</row>
    <row r="1988">
      <c r="A1988" s="11" t="str">
        <f>IFERROR(__xludf.DUMMYFUNCTION("""COMPUTED_VALUE"""),"Lincoln Educational Svcs Corp  Com")</f>
        <v>Lincoln Educational Svcs Corp  Com</v>
      </c>
      <c r="B1988" s="12" t="str">
        <f>IFERROR(__xludf.DUMMYFUNCTION("""COMPUTED_VALUE"""),"LINC-US")</f>
        <v>LINC-US</v>
      </c>
      <c r="C1988" s="12"/>
      <c r="D1988" s="13">
        <f>IFERROR(__xludf.DUMMYFUNCTION("""COMPUTED_VALUE"""),45463.0)</f>
        <v>45463</v>
      </c>
      <c r="E1988" s="13">
        <f>IFERROR(__xludf.DUMMYFUNCTION("""COMPUTED_VALUE"""),45785.0)</f>
        <v>45785</v>
      </c>
      <c r="F1988" s="13">
        <f>IFERROR(__xludf.DUMMYFUNCTION("""COMPUTED_VALUE"""),45785.0)</f>
        <v>45785</v>
      </c>
      <c r="G1988" s="12"/>
      <c r="H1988" s="12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</row>
    <row r="1989">
      <c r="A1989" s="11" t="str">
        <f>IFERROR(__xludf.DUMMYFUNCTION("""COMPUTED_VALUE"""),"Horizon Bancorp Inc  Com")</f>
        <v>Horizon Bancorp Inc  Com</v>
      </c>
      <c r="B1989" s="12" t="str">
        <f>IFERROR(__xludf.DUMMYFUNCTION("""COMPUTED_VALUE"""),"HBNC-US")</f>
        <v>HBNC-US</v>
      </c>
      <c r="C1989" s="12"/>
      <c r="D1989" s="13">
        <f>IFERROR(__xludf.DUMMYFUNCTION("""COMPUTED_VALUE"""),45463.0)</f>
        <v>45463</v>
      </c>
      <c r="E1989" s="13">
        <f>IFERROR(__xludf.DUMMYFUNCTION("""COMPUTED_VALUE"""),45778.0)</f>
        <v>45778</v>
      </c>
      <c r="F1989" s="13">
        <f>IFERROR(__xludf.DUMMYFUNCTION("""COMPUTED_VALUE"""),45778.0)</f>
        <v>45778</v>
      </c>
      <c r="G1989" s="12"/>
      <c r="H1989" s="12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</row>
    <row r="1990">
      <c r="A1990" s="11" t="str">
        <f>IFERROR(__xludf.DUMMYFUNCTION("""COMPUTED_VALUE"""),"Vitesse Energy Inc  Com")</f>
        <v>Vitesse Energy Inc  Com</v>
      </c>
      <c r="B1990" s="12" t="str">
        <f>IFERROR(__xludf.DUMMYFUNCTION("""COMPUTED_VALUE"""),"VTS-US")</f>
        <v>VTS-US</v>
      </c>
      <c r="C1990" s="12"/>
      <c r="D1990" s="13">
        <f>IFERROR(__xludf.DUMMYFUNCTION("""COMPUTED_VALUE"""),45463.0)</f>
        <v>45463</v>
      </c>
      <c r="E1990" s="13">
        <f>IFERROR(__xludf.DUMMYFUNCTION("""COMPUTED_VALUE"""),45778.0)</f>
        <v>45778</v>
      </c>
      <c r="F1990" s="13">
        <f>IFERROR(__xludf.DUMMYFUNCTION("""COMPUTED_VALUE"""),45778.0)</f>
        <v>45778</v>
      </c>
      <c r="G1990" s="12"/>
      <c r="H1990" s="12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</row>
    <row r="1991">
      <c r="A1991" s="11" t="str">
        <f>IFERROR(__xludf.DUMMYFUNCTION("""COMPUTED_VALUE"""),"Koppers Holdings Inc  Com")</f>
        <v>Koppers Holdings Inc  Com</v>
      </c>
      <c r="B1991" s="12" t="str">
        <f>IFERROR(__xludf.DUMMYFUNCTION("""COMPUTED_VALUE"""),"KOP-US")</f>
        <v>KOP-US</v>
      </c>
      <c r="C1991" s="12"/>
      <c r="D1991" s="13">
        <f>IFERROR(__xludf.DUMMYFUNCTION("""COMPUTED_VALUE"""),45463.0)</f>
        <v>45463</v>
      </c>
      <c r="E1991" s="13">
        <f>IFERROR(__xludf.DUMMYFUNCTION("""COMPUTED_VALUE"""),45785.0)</f>
        <v>45785</v>
      </c>
      <c r="F1991" s="13">
        <f>IFERROR(__xludf.DUMMYFUNCTION("""COMPUTED_VALUE"""),45785.0)</f>
        <v>45785</v>
      </c>
      <c r="G1991" s="12"/>
      <c r="H1991" s="12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</row>
    <row r="1992">
      <c r="A1992" s="11" t="str">
        <f>IFERROR(__xludf.DUMMYFUNCTION("""COMPUTED_VALUE"""),"Gladstone Commercial Corp  Com")</f>
        <v>Gladstone Commercial Corp  Com</v>
      </c>
      <c r="B1992" s="12" t="str">
        <f>IFERROR(__xludf.DUMMYFUNCTION("""COMPUTED_VALUE"""),"GOOD-US")</f>
        <v>GOOD-US</v>
      </c>
      <c r="C1992" s="12"/>
      <c r="D1992" s="13">
        <f>IFERROR(__xludf.DUMMYFUNCTION("""COMPUTED_VALUE"""),45463.0)</f>
        <v>45463</v>
      </c>
      <c r="E1992" s="13">
        <f>IFERROR(__xludf.DUMMYFUNCTION("""COMPUTED_VALUE"""),45778.0)</f>
        <v>45778</v>
      </c>
      <c r="F1992" s="13">
        <f>IFERROR(__xludf.DUMMYFUNCTION("""COMPUTED_VALUE"""),45778.0)</f>
        <v>45778</v>
      </c>
      <c r="G1992" s="12"/>
      <c r="H1992" s="12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</row>
    <row r="1993">
      <c r="A1993" s="11" t="str">
        <f>IFERROR(__xludf.DUMMYFUNCTION("""COMPUTED_VALUE"""),"Blade Air Mobility Inc  Cl A")</f>
        <v>Blade Air Mobility Inc  Cl A</v>
      </c>
      <c r="B1993" s="12" t="str">
        <f>IFERROR(__xludf.DUMMYFUNCTION("""COMPUTED_VALUE"""),"BLDE-US")</f>
        <v>BLDE-US</v>
      </c>
      <c r="C1993" s="12"/>
      <c r="D1993" s="13">
        <f>IFERROR(__xludf.DUMMYFUNCTION("""COMPUTED_VALUE"""),45463.0)</f>
        <v>45463</v>
      </c>
      <c r="E1993" s="13">
        <f>IFERROR(__xludf.DUMMYFUNCTION("""COMPUTED_VALUE"""),45783.0)</f>
        <v>45783</v>
      </c>
      <c r="F1993" s="13">
        <f>IFERROR(__xludf.DUMMYFUNCTION("""COMPUTED_VALUE"""),45783.0)</f>
        <v>45783</v>
      </c>
      <c r="G1993" s="12"/>
      <c r="H1993" s="12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</row>
    <row r="1994">
      <c r="A1994" s="11" t="str">
        <f>IFERROR(__xludf.DUMMYFUNCTION("""COMPUTED_VALUE"""),"Community Healthcare Trust Inc  Com")</f>
        <v>Community Healthcare Trust Inc  Com</v>
      </c>
      <c r="B1994" s="12" t="str">
        <f>IFERROR(__xludf.DUMMYFUNCTION("""COMPUTED_VALUE"""),"CHCT-US")</f>
        <v>CHCT-US</v>
      </c>
      <c r="C1994" s="12"/>
      <c r="D1994" s="13">
        <f>IFERROR(__xludf.DUMMYFUNCTION("""COMPUTED_VALUE"""),45463.0)</f>
        <v>45463</v>
      </c>
      <c r="E1994" s="13">
        <f>IFERROR(__xludf.DUMMYFUNCTION("""COMPUTED_VALUE"""),45778.0)</f>
        <v>45778</v>
      </c>
      <c r="F1994" s="13">
        <f>IFERROR(__xludf.DUMMYFUNCTION("""COMPUTED_VALUE"""),45778.0)</f>
        <v>45778</v>
      </c>
      <c r="G1994" s="12"/>
      <c r="H1994" s="12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</row>
    <row r="1995">
      <c r="A1995" s="11" t="str">
        <f>IFERROR(__xludf.DUMMYFUNCTION("""COMPUTED_VALUE"""),"Red River Bancshares Inc  Com")</f>
        <v>Red River Bancshares Inc  Com</v>
      </c>
      <c r="B1995" s="12" t="str">
        <f>IFERROR(__xludf.DUMMYFUNCTION("""COMPUTED_VALUE"""),"RRBI-US")</f>
        <v>RRBI-US</v>
      </c>
      <c r="C1995" s="12"/>
      <c r="D1995" s="13">
        <f>IFERROR(__xludf.DUMMYFUNCTION("""COMPUTED_VALUE"""),45463.0)</f>
        <v>45463</v>
      </c>
      <c r="E1995" s="13">
        <f>IFERROR(__xludf.DUMMYFUNCTION("""COMPUTED_VALUE"""),45778.0)</f>
        <v>45778</v>
      </c>
      <c r="F1995" s="13">
        <f>IFERROR(__xludf.DUMMYFUNCTION("""COMPUTED_VALUE"""),45778.0)</f>
        <v>45778</v>
      </c>
      <c r="G1995" s="12"/>
      <c r="H1995" s="12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</row>
    <row r="1996">
      <c r="A1996" s="11" t="str">
        <f>IFERROR(__xludf.DUMMYFUNCTION("""COMPUTED_VALUE"""),"Mbia Inc  Com")</f>
        <v>Mbia Inc  Com</v>
      </c>
      <c r="B1996" s="12" t="str">
        <f>IFERROR(__xludf.DUMMYFUNCTION("""COMPUTED_VALUE"""),"MBI-US")</f>
        <v>MBI-US</v>
      </c>
      <c r="C1996" s="12"/>
      <c r="D1996" s="13">
        <f>IFERROR(__xludf.DUMMYFUNCTION("""COMPUTED_VALUE"""),45463.0)</f>
        <v>45463</v>
      </c>
      <c r="E1996" s="13">
        <f>IFERROR(__xludf.DUMMYFUNCTION("""COMPUTED_VALUE"""),45783.0)</f>
        <v>45783</v>
      </c>
      <c r="F1996" s="13">
        <f>IFERROR(__xludf.DUMMYFUNCTION("""COMPUTED_VALUE"""),45783.0)</f>
        <v>45783</v>
      </c>
      <c r="G1996" s="12"/>
      <c r="H1996" s="12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</row>
    <row r="1997">
      <c r="A1997" s="11" t="str">
        <f>IFERROR(__xludf.DUMMYFUNCTION("""COMPUTED_VALUE"""),"Anywhere Real Estate Inc  Com")</f>
        <v>Anywhere Real Estate Inc  Com</v>
      </c>
      <c r="B1997" s="12" t="str">
        <f>IFERROR(__xludf.DUMMYFUNCTION("""COMPUTED_VALUE"""),"HOUS-US")</f>
        <v>HOUS-US</v>
      </c>
      <c r="C1997" s="12"/>
      <c r="D1997" s="13">
        <f>IFERROR(__xludf.DUMMYFUNCTION("""COMPUTED_VALUE"""),45463.0)</f>
        <v>45463</v>
      </c>
      <c r="E1997" s="13">
        <f>IFERROR(__xludf.DUMMYFUNCTION("""COMPUTED_VALUE"""),45784.0)</f>
        <v>45784</v>
      </c>
      <c r="F1997" s="13">
        <f>IFERROR(__xludf.DUMMYFUNCTION("""COMPUTED_VALUE"""),45784.0)</f>
        <v>45784</v>
      </c>
      <c r="G1997" s="12"/>
      <c r="H1997" s="12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</row>
    <row r="1998">
      <c r="A1998" s="11" t="str">
        <f>IFERROR(__xludf.DUMMYFUNCTION("""COMPUTED_VALUE"""),"City Office Reit Inc  Com")</f>
        <v>City Office Reit Inc  Com</v>
      </c>
      <c r="B1998" s="12" t="str">
        <f>IFERROR(__xludf.DUMMYFUNCTION("""COMPUTED_VALUE"""),"CIO-US")</f>
        <v>CIO-US</v>
      </c>
      <c r="C1998" s="12"/>
      <c r="D1998" s="13">
        <f>IFERROR(__xludf.DUMMYFUNCTION("""COMPUTED_VALUE"""),45463.0)</f>
        <v>45463</v>
      </c>
      <c r="E1998" s="13">
        <f>IFERROR(__xludf.DUMMYFUNCTION("""COMPUTED_VALUE"""),45778.0)</f>
        <v>45778</v>
      </c>
      <c r="F1998" s="13">
        <f>IFERROR(__xludf.DUMMYFUNCTION("""COMPUTED_VALUE"""),45778.0)</f>
        <v>45778</v>
      </c>
      <c r="G1998" s="12"/>
      <c r="H1998" s="12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</row>
    <row r="1999">
      <c r="A1999" s="11" t="str">
        <f>IFERROR(__xludf.DUMMYFUNCTION("""COMPUTED_VALUE"""),"Coca Cola Co  Com")</f>
        <v>Coca Cola Co  Com</v>
      </c>
      <c r="B1999" s="12" t="str">
        <f>IFERROR(__xludf.DUMMYFUNCTION("""COMPUTED_VALUE"""),"KO-US")</f>
        <v>KO-US</v>
      </c>
      <c r="C1999" s="12"/>
      <c r="D1999" s="13">
        <f>IFERROR(__xludf.DUMMYFUNCTION("""COMPUTED_VALUE"""),45463.0)</f>
        <v>45463</v>
      </c>
      <c r="E1999" s="13">
        <f>IFERROR(__xludf.DUMMYFUNCTION("""COMPUTED_VALUE"""),45777.0)</f>
        <v>45777</v>
      </c>
      <c r="F1999" s="13">
        <f>IFERROR(__xludf.DUMMYFUNCTION("""COMPUTED_VALUE"""),45777.0)</f>
        <v>45777</v>
      </c>
      <c r="G1999" s="12"/>
      <c r="H1999" s="12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</row>
    <row r="2000">
      <c r="A2000" s="11" t="str">
        <f>IFERROR(__xludf.DUMMYFUNCTION("""COMPUTED_VALUE"""),"Pepsico Inc  Com")</f>
        <v>Pepsico Inc  Com</v>
      </c>
      <c r="B2000" s="12" t="str">
        <f>IFERROR(__xludf.DUMMYFUNCTION("""COMPUTED_VALUE"""),"PEP-US")</f>
        <v>PEP-US</v>
      </c>
      <c r="C2000" s="12"/>
      <c r="D2000" s="13">
        <f>IFERROR(__xludf.DUMMYFUNCTION("""COMPUTED_VALUE"""),45463.0)</f>
        <v>45463</v>
      </c>
      <c r="E2000" s="13">
        <f>IFERROR(__xludf.DUMMYFUNCTION("""COMPUTED_VALUE"""),45784.0)</f>
        <v>45784</v>
      </c>
      <c r="F2000" s="13">
        <f>IFERROR(__xludf.DUMMYFUNCTION("""COMPUTED_VALUE"""),45784.0)</f>
        <v>45784</v>
      </c>
      <c r="G2000" s="12"/>
      <c r="H2000" s="12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</row>
    <row r="2001">
      <c r="A2001" s="11" t="str">
        <f>IFERROR(__xludf.DUMMYFUNCTION("""COMPUTED_VALUE"""),"S&amp;P Global Inc  Com")</f>
        <v>S&amp;P Global Inc  Com</v>
      </c>
      <c r="B2001" s="12" t="str">
        <f>IFERROR(__xludf.DUMMYFUNCTION("""COMPUTED_VALUE"""),"SPGI-US")</f>
        <v>SPGI-US</v>
      </c>
      <c r="C2001" s="12"/>
      <c r="D2001" s="13">
        <f>IFERROR(__xludf.DUMMYFUNCTION("""COMPUTED_VALUE"""),45463.0)</f>
        <v>45463</v>
      </c>
      <c r="E2001" s="13">
        <f>IFERROR(__xludf.DUMMYFUNCTION("""COMPUTED_VALUE"""),45784.0)</f>
        <v>45784</v>
      </c>
      <c r="F2001" s="13">
        <f>IFERROR(__xludf.DUMMYFUNCTION("""COMPUTED_VALUE"""),45784.0)</f>
        <v>45784</v>
      </c>
      <c r="G2001" s="12"/>
      <c r="H2001" s="12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</row>
    <row r="2002">
      <c r="A2002" s="11" t="str">
        <f>IFERROR(__xludf.DUMMYFUNCTION("""COMPUTED_VALUE"""),"General Dynamics Corp  Com")</f>
        <v>General Dynamics Corp  Com</v>
      </c>
      <c r="B2002" s="12" t="str">
        <f>IFERROR(__xludf.DUMMYFUNCTION("""COMPUTED_VALUE"""),"GD-US")</f>
        <v>GD-US</v>
      </c>
      <c r="C2002" s="12"/>
      <c r="D2002" s="13">
        <f>IFERROR(__xludf.DUMMYFUNCTION("""COMPUTED_VALUE"""),45463.0)</f>
        <v>45463</v>
      </c>
      <c r="E2002" s="13">
        <f>IFERROR(__xludf.DUMMYFUNCTION("""COMPUTED_VALUE"""),45784.0)</f>
        <v>45784</v>
      </c>
      <c r="F2002" s="13">
        <f>IFERROR(__xludf.DUMMYFUNCTION("""COMPUTED_VALUE"""),45784.0)</f>
        <v>45784</v>
      </c>
      <c r="G2002" s="12"/>
      <c r="H2002" s="12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</row>
    <row r="2003">
      <c r="A2003" s="11" t="str">
        <f>IFERROR(__xludf.DUMMYFUNCTION("""COMPUTED_VALUE"""),"Vistra Corp  Com")</f>
        <v>Vistra Corp  Com</v>
      </c>
      <c r="B2003" s="12" t="str">
        <f>IFERROR(__xludf.DUMMYFUNCTION("""COMPUTED_VALUE"""),"VST-US")</f>
        <v>VST-US</v>
      </c>
      <c r="C2003" s="12"/>
      <c r="D2003" s="13">
        <f>IFERROR(__xludf.DUMMYFUNCTION("""COMPUTED_VALUE"""),45463.0)</f>
        <v>45463</v>
      </c>
      <c r="E2003" s="13">
        <f>IFERROR(__xludf.DUMMYFUNCTION("""COMPUTED_VALUE"""),45777.0)</f>
        <v>45777</v>
      </c>
      <c r="F2003" s="13">
        <f>IFERROR(__xludf.DUMMYFUNCTION("""COMPUTED_VALUE"""),45777.0)</f>
        <v>45777</v>
      </c>
      <c r="G2003" s="12"/>
      <c r="H2003" s="12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</row>
    <row r="2004">
      <c r="A2004" s="11" t="str">
        <f>IFERROR(__xludf.DUMMYFUNCTION("""COMPUTED_VALUE"""),"First Citizens Bancshares  Cl A")</f>
        <v>First Citizens Bancshares  Cl A</v>
      </c>
      <c r="B2004" s="12" t="str">
        <f>IFERROR(__xludf.DUMMYFUNCTION("""COMPUTED_VALUE"""),"FCNCA-US")</f>
        <v>FCNCA-US</v>
      </c>
      <c r="C2004" s="12"/>
      <c r="D2004" s="13">
        <f>IFERROR(__xludf.DUMMYFUNCTION("""COMPUTED_VALUE"""),45463.0)</f>
        <v>45463</v>
      </c>
      <c r="E2004" s="13">
        <f>IFERROR(__xludf.DUMMYFUNCTION("""COMPUTED_VALUE"""),45776.0)</f>
        <v>45776</v>
      </c>
      <c r="F2004" s="13">
        <f>IFERROR(__xludf.DUMMYFUNCTION("""COMPUTED_VALUE"""),45776.0)</f>
        <v>45776</v>
      </c>
      <c r="G2004" s="12"/>
      <c r="H2004" s="12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</row>
    <row r="2005">
      <c r="A2005" s="11" t="str">
        <f>IFERROR(__xludf.DUMMYFUNCTION("""COMPUTED_VALUE"""),"International Flavors &amp; Fragran  Com")</f>
        <v>International Flavors &amp; Fragran  Com</v>
      </c>
      <c r="B2005" s="12" t="str">
        <f>IFERROR(__xludf.DUMMYFUNCTION("""COMPUTED_VALUE"""),"IFF-US")</f>
        <v>IFF-US</v>
      </c>
      <c r="C2005" s="12"/>
      <c r="D2005" s="13">
        <f>IFERROR(__xludf.DUMMYFUNCTION("""COMPUTED_VALUE"""),45463.0)</f>
        <v>45463</v>
      </c>
      <c r="E2005" s="13">
        <f>IFERROR(__xludf.DUMMYFUNCTION("""COMPUTED_VALUE"""),45778.0)</f>
        <v>45778</v>
      </c>
      <c r="F2005" s="13">
        <f>IFERROR(__xludf.DUMMYFUNCTION("""COMPUTED_VALUE"""),45778.0)</f>
        <v>45778</v>
      </c>
      <c r="G2005" s="12"/>
      <c r="H2005" s="12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</row>
    <row r="2006">
      <c r="A2006" s="11" t="str">
        <f>IFERROR(__xludf.DUMMYFUNCTION("""COMPUTED_VALUE"""),"Eversource Energy  Com")</f>
        <v>Eversource Energy  Com</v>
      </c>
      <c r="B2006" s="12" t="str">
        <f>IFERROR(__xludf.DUMMYFUNCTION("""COMPUTED_VALUE"""),"ES-US")</f>
        <v>ES-US</v>
      </c>
      <c r="C2006" s="12"/>
      <c r="D2006" s="13">
        <f>IFERROR(__xludf.DUMMYFUNCTION("""COMPUTED_VALUE"""),45463.0)</f>
        <v>45463</v>
      </c>
      <c r="E2006" s="13">
        <f>IFERROR(__xludf.DUMMYFUNCTION("""COMPUTED_VALUE"""),45778.0)</f>
        <v>45778</v>
      </c>
      <c r="F2006" s="13">
        <f>IFERROR(__xludf.DUMMYFUNCTION("""COMPUTED_VALUE"""),45778.0)</f>
        <v>45778</v>
      </c>
      <c r="G2006" s="12"/>
      <c r="H2006" s="12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</row>
    <row r="2007">
      <c r="A2007" s="11" t="str">
        <f>IFERROR(__xludf.DUMMYFUNCTION("""COMPUTED_VALUE"""),"Coterra Energy Inc  Com")</f>
        <v>Coterra Energy Inc  Com</v>
      </c>
      <c r="B2007" s="12" t="str">
        <f>IFERROR(__xludf.DUMMYFUNCTION("""COMPUTED_VALUE"""),"CTRA-US")</f>
        <v>CTRA-US</v>
      </c>
      <c r="C2007" s="12"/>
      <c r="D2007" s="13">
        <f>IFERROR(__xludf.DUMMYFUNCTION("""COMPUTED_VALUE"""),45463.0)</f>
        <v>45463</v>
      </c>
      <c r="E2007" s="13">
        <f>IFERROR(__xludf.DUMMYFUNCTION("""COMPUTED_VALUE"""),45777.0)</f>
        <v>45777</v>
      </c>
      <c r="F2007" s="13">
        <f>IFERROR(__xludf.DUMMYFUNCTION("""COMPUTED_VALUE"""),45777.0)</f>
        <v>45777</v>
      </c>
      <c r="G2007" s="12"/>
      <c r="H2007" s="12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</row>
    <row r="2008">
      <c r="A2008" s="11" t="str">
        <f>IFERROR(__xludf.DUMMYFUNCTION("""COMPUTED_VALUE"""),"Molina Healthcare Inc  Com")</f>
        <v>Molina Healthcare Inc  Com</v>
      </c>
      <c r="B2008" s="12" t="str">
        <f>IFERROR(__xludf.DUMMYFUNCTION("""COMPUTED_VALUE"""),"MOH-US")</f>
        <v>MOH-US</v>
      </c>
      <c r="C2008" s="12"/>
      <c r="D2008" s="13">
        <f>IFERROR(__xludf.DUMMYFUNCTION("""COMPUTED_VALUE"""),45463.0)</f>
        <v>45463</v>
      </c>
      <c r="E2008" s="13">
        <f>IFERROR(__xludf.DUMMYFUNCTION("""COMPUTED_VALUE"""),45777.0)</f>
        <v>45777</v>
      </c>
      <c r="F2008" s="13">
        <f>IFERROR(__xludf.DUMMYFUNCTION("""COMPUTED_VALUE"""),45777.0)</f>
        <v>45777</v>
      </c>
      <c r="G2008" s="12"/>
      <c r="H2008" s="12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</row>
    <row r="2009">
      <c r="A2009" s="11" t="str">
        <f>IFERROR(__xludf.DUMMYFUNCTION("""COMPUTED_VALUE"""),"Carlisle Cos Inc  Com")</f>
        <v>Carlisle Cos Inc  Com</v>
      </c>
      <c r="B2009" s="12" t="str">
        <f>IFERROR(__xludf.DUMMYFUNCTION("""COMPUTED_VALUE"""),"CSL-US")</f>
        <v>CSL-US</v>
      </c>
      <c r="C2009" s="12"/>
      <c r="D2009" s="13">
        <f>IFERROR(__xludf.DUMMYFUNCTION("""COMPUTED_VALUE"""),45463.0)</f>
        <v>45463</v>
      </c>
      <c r="E2009" s="13">
        <f>IFERROR(__xludf.DUMMYFUNCTION("""COMPUTED_VALUE"""),45777.0)</f>
        <v>45777</v>
      </c>
      <c r="F2009" s="13">
        <f>IFERROR(__xludf.DUMMYFUNCTION("""COMPUTED_VALUE"""),45777.0)</f>
        <v>45777</v>
      </c>
      <c r="G2009" s="12"/>
      <c r="H2009" s="12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</row>
    <row r="2010">
      <c r="A2010" s="11" t="str">
        <f>IFERROR(__xludf.DUMMYFUNCTION("""COMPUTED_VALUE"""),"Regency Centers Corp  Com")</f>
        <v>Regency Centers Corp  Com</v>
      </c>
      <c r="B2010" s="12" t="str">
        <f>IFERROR(__xludf.DUMMYFUNCTION("""COMPUTED_VALUE"""),"REG-US")</f>
        <v>REG-US</v>
      </c>
      <c r="C2010" s="12"/>
      <c r="D2010" s="13">
        <f>IFERROR(__xludf.DUMMYFUNCTION("""COMPUTED_VALUE"""),45463.0)</f>
        <v>45463</v>
      </c>
      <c r="E2010" s="13">
        <f>IFERROR(__xludf.DUMMYFUNCTION("""COMPUTED_VALUE"""),45784.0)</f>
        <v>45784</v>
      </c>
      <c r="F2010" s="13">
        <f>IFERROR(__xludf.DUMMYFUNCTION("""COMPUTED_VALUE"""),45784.0)</f>
        <v>45784</v>
      </c>
      <c r="G2010" s="12"/>
      <c r="H2010" s="12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</row>
    <row r="2011">
      <c r="A2011" s="11" t="str">
        <f>IFERROR(__xludf.DUMMYFUNCTION("""COMPUTED_VALUE"""),"Pool Corp  Com")</f>
        <v>Pool Corp  Com</v>
      </c>
      <c r="B2011" s="12" t="str">
        <f>IFERROR(__xludf.DUMMYFUNCTION("""COMPUTED_VALUE"""),"POOL-US")</f>
        <v>POOL-US</v>
      </c>
      <c r="C2011" s="12"/>
      <c r="D2011" s="13">
        <f>IFERROR(__xludf.DUMMYFUNCTION("""COMPUTED_VALUE"""),45463.0)</f>
        <v>45463</v>
      </c>
      <c r="E2011" s="13">
        <f>IFERROR(__xludf.DUMMYFUNCTION("""COMPUTED_VALUE"""),45777.0)</f>
        <v>45777</v>
      </c>
      <c r="F2011" s="13">
        <f>IFERROR(__xludf.DUMMYFUNCTION("""COMPUTED_VALUE"""),45777.0)</f>
        <v>45777</v>
      </c>
      <c r="G2011" s="12"/>
      <c r="H2011" s="12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</row>
    <row r="2012">
      <c r="A2012" s="11" t="str">
        <f>IFERROR(__xludf.DUMMYFUNCTION("""COMPUTED_VALUE"""),"Aptargroup Inc  Com")</f>
        <v>Aptargroup Inc  Com</v>
      </c>
      <c r="B2012" s="12" t="str">
        <f>IFERROR(__xludf.DUMMYFUNCTION("""COMPUTED_VALUE"""),"ATR-US")</f>
        <v>ATR-US</v>
      </c>
      <c r="C2012" s="12"/>
      <c r="D2012" s="13">
        <f>IFERROR(__xludf.DUMMYFUNCTION("""COMPUTED_VALUE"""),45464.0)</f>
        <v>45464</v>
      </c>
      <c r="E2012" s="13">
        <f>IFERROR(__xludf.DUMMYFUNCTION("""COMPUTED_VALUE"""),45784.0)</f>
        <v>45784</v>
      </c>
      <c r="F2012" s="13">
        <f>IFERROR(__xludf.DUMMYFUNCTION("""COMPUTED_VALUE"""),45784.0)</f>
        <v>45784</v>
      </c>
      <c r="G2012" s="12"/>
      <c r="H2012" s="12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</row>
    <row r="2013">
      <c r="A2013" s="11" t="str">
        <f>IFERROR(__xludf.DUMMYFUNCTION("""COMPUTED_VALUE"""),"Essential Utilities Inc  Com")</f>
        <v>Essential Utilities Inc  Com</v>
      </c>
      <c r="B2013" s="12" t="str">
        <f>IFERROR(__xludf.DUMMYFUNCTION("""COMPUTED_VALUE"""),"WTRG-US")</f>
        <v>WTRG-US</v>
      </c>
      <c r="C2013" s="12"/>
      <c r="D2013" s="13">
        <f>IFERROR(__xludf.DUMMYFUNCTION("""COMPUTED_VALUE"""),45464.0)</f>
        <v>45464</v>
      </c>
      <c r="E2013" s="13">
        <f>IFERROR(__xludf.DUMMYFUNCTION("""COMPUTED_VALUE"""),45784.0)</f>
        <v>45784</v>
      </c>
      <c r="F2013" s="13">
        <f>IFERROR(__xludf.DUMMYFUNCTION("""COMPUTED_VALUE"""),45784.0)</f>
        <v>45784</v>
      </c>
      <c r="G2013" s="12"/>
      <c r="H2013" s="12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</row>
    <row r="2014">
      <c r="A2014" s="11" t="str">
        <f>IFERROR(__xludf.DUMMYFUNCTION("""COMPUTED_VALUE"""),"Federal Realty Investment Trust  Sbi")</f>
        <v>Federal Realty Investment Trust  Sbi</v>
      </c>
      <c r="B2014" s="12" t="str">
        <f>IFERROR(__xludf.DUMMYFUNCTION("""COMPUTED_VALUE"""),"FRT-US")</f>
        <v>FRT-US</v>
      </c>
      <c r="C2014" s="12"/>
      <c r="D2014" s="13">
        <f>IFERROR(__xludf.DUMMYFUNCTION("""COMPUTED_VALUE"""),45464.0)</f>
        <v>45464</v>
      </c>
      <c r="E2014" s="13">
        <f>IFERROR(__xludf.DUMMYFUNCTION("""COMPUTED_VALUE"""),45784.0)</f>
        <v>45784</v>
      </c>
      <c r="F2014" s="13">
        <f>IFERROR(__xludf.DUMMYFUNCTION("""COMPUTED_VALUE"""),45784.0)</f>
        <v>45784</v>
      </c>
      <c r="G2014" s="12"/>
      <c r="H2014" s="12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</row>
    <row r="2015">
      <c r="A2015" s="11" t="str">
        <f>IFERROR(__xludf.DUMMYFUNCTION("""COMPUTED_VALUE"""),"Fluor Corp  Com")</f>
        <v>Fluor Corp  Com</v>
      </c>
      <c r="B2015" s="12" t="str">
        <f>IFERROR(__xludf.DUMMYFUNCTION("""COMPUTED_VALUE"""),"FLR-US")</f>
        <v>FLR-US</v>
      </c>
      <c r="C2015" s="12"/>
      <c r="D2015" s="13">
        <f>IFERROR(__xludf.DUMMYFUNCTION("""COMPUTED_VALUE"""),45464.0)</f>
        <v>45464</v>
      </c>
      <c r="E2015" s="13">
        <f>IFERROR(__xludf.DUMMYFUNCTION("""COMPUTED_VALUE"""),45777.0)</f>
        <v>45777</v>
      </c>
      <c r="F2015" s="13">
        <f>IFERROR(__xludf.DUMMYFUNCTION("""COMPUTED_VALUE"""),45777.0)</f>
        <v>45777</v>
      </c>
      <c r="G2015" s="12"/>
      <c r="H2015" s="12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</row>
    <row r="2016">
      <c r="A2016" s="11" t="str">
        <f>IFERROR(__xludf.DUMMYFUNCTION("""COMPUTED_VALUE"""),"Mgm Resorts International  Com")</f>
        <v>Mgm Resorts International  Com</v>
      </c>
      <c r="B2016" s="12" t="str">
        <f>IFERROR(__xludf.DUMMYFUNCTION("""COMPUTED_VALUE"""),"MGM-US")</f>
        <v>MGM-US</v>
      </c>
      <c r="C2016" s="12"/>
      <c r="D2016" s="13">
        <f>IFERROR(__xludf.DUMMYFUNCTION("""COMPUTED_VALUE"""),45464.0)</f>
        <v>45464</v>
      </c>
      <c r="E2016" s="13">
        <f>IFERROR(__xludf.DUMMYFUNCTION("""COMPUTED_VALUE"""),45784.0)</f>
        <v>45784</v>
      </c>
      <c r="F2016" s="13">
        <f>IFERROR(__xludf.DUMMYFUNCTION("""COMPUTED_VALUE"""),45784.0)</f>
        <v>45784</v>
      </c>
      <c r="G2016" s="12"/>
      <c r="H2016" s="12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</row>
    <row r="2017">
      <c r="A2017" s="11" t="str">
        <f>IFERROR(__xludf.DUMMYFUNCTION("""COMPUTED_VALUE"""),"Chord Energy Corp  Com")</f>
        <v>Chord Energy Corp  Com</v>
      </c>
      <c r="B2017" s="12" t="str">
        <f>IFERROR(__xludf.DUMMYFUNCTION("""COMPUTED_VALUE"""),"CHRD-US")</f>
        <v>CHRD-US</v>
      </c>
      <c r="C2017" s="12"/>
      <c r="D2017" s="13">
        <f>IFERROR(__xludf.DUMMYFUNCTION("""COMPUTED_VALUE"""),45464.0)</f>
        <v>45464</v>
      </c>
      <c r="E2017" s="13">
        <f>IFERROR(__xludf.DUMMYFUNCTION("""COMPUTED_VALUE"""),45777.0)</f>
        <v>45777</v>
      </c>
      <c r="F2017" s="13">
        <f>IFERROR(__xludf.DUMMYFUNCTION("""COMPUTED_VALUE"""),45777.0)</f>
        <v>45777</v>
      </c>
      <c r="G2017" s="12"/>
      <c r="H2017" s="12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</row>
    <row r="2018">
      <c r="A2018" s="11" t="str">
        <f>IFERROR(__xludf.DUMMYFUNCTION("""COMPUTED_VALUE"""),"Huntington Ingalls Ind Inc Com")</f>
        <v>Huntington Ingalls Ind Inc Com</v>
      </c>
      <c r="B2018" s="12" t="str">
        <f>IFERROR(__xludf.DUMMYFUNCTION("""COMPUTED_VALUE"""),"HII-US")</f>
        <v>HII-US</v>
      </c>
      <c r="C2018" s="12"/>
      <c r="D2018" s="13">
        <f>IFERROR(__xludf.DUMMYFUNCTION("""COMPUTED_VALUE"""),45464.0)</f>
        <v>45464</v>
      </c>
      <c r="E2018" s="13">
        <f>IFERROR(__xludf.DUMMYFUNCTION("""COMPUTED_VALUE"""),45777.0)</f>
        <v>45777</v>
      </c>
      <c r="F2018" s="13">
        <f>IFERROR(__xludf.DUMMYFUNCTION("""COMPUTED_VALUE"""),45777.0)</f>
        <v>45777</v>
      </c>
      <c r="G2018" s="12"/>
      <c r="H2018" s="12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</row>
    <row r="2019">
      <c r="A2019" s="11" t="str">
        <f>IFERROR(__xludf.DUMMYFUNCTION("""COMPUTED_VALUE"""),"Simpson Manufacturing Co Inc  Com")</f>
        <v>Simpson Manufacturing Co Inc  Com</v>
      </c>
      <c r="B2019" s="12" t="str">
        <f>IFERROR(__xludf.DUMMYFUNCTION("""COMPUTED_VALUE"""),"SSD-US")</f>
        <v>SSD-US</v>
      </c>
      <c r="C2019" s="12"/>
      <c r="D2019" s="13">
        <f>IFERROR(__xludf.DUMMYFUNCTION("""COMPUTED_VALUE"""),45464.0)</f>
        <v>45464</v>
      </c>
      <c r="E2019" s="13">
        <f>IFERROR(__xludf.DUMMYFUNCTION("""COMPUTED_VALUE"""),45783.0)</f>
        <v>45783</v>
      </c>
      <c r="F2019" s="13">
        <f>IFERROR(__xludf.DUMMYFUNCTION("""COMPUTED_VALUE"""),45783.0)</f>
        <v>45783</v>
      </c>
      <c r="G2019" s="12"/>
      <c r="H2019" s="12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</row>
    <row r="2020">
      <c r="A2020" s="11" t="str">
        <f>IFERROR(__xludf.DUMMYFUNCTION("""COMPUTED_VALUE"""),"Cognex Corp  Com")</f>
        <v>Cognex Corp  Com</v>
      </c>
      <c r="B2020" s="12" t="str">
        <f>IFERROR(__xludf.DUMMYFUNCTION("""COMPUTED_VALUE"""),"CGNX-US")</f>
        <v>CGNX-US</v>
      </c>
      <c r="C2020" s="12"/>
      <c r="D2020" s="13">
        <f>IFERROR(__xludf.DUMMYFUNCTION("""COMPUTED_VALUE"""),45464.0)</f>
        <v>45464</v>
      </c>
      <c r="E2020" s="13">
        <f>IFERROR(__xludf.DUMMYFUNCTION("""COMPUTED_VALUE"""),45777.0)</f>
        <v>45777</v>
      </c>
      <c r="F2020" s="13">
        <f>IFERROR(__xludf.DUMMYFUNCTION("""COMPUTED_VALUE"""),45777.0)</f>
        <v>45777</v>
      </c>
      <c r="G2020" s="12"/>
      <c r="H2020" s="12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</row>
    <row r="2021">
      <c r="A2021" s="11" t="str">
        <f>IFERROR(__xludf.DUMMYFUNCTION("""COMPUTED_VALUE"""),"Essent Group Ltd  Com")</f>
        <v>Essent Group Ltd  Com</v>
      </c>
      <c r="B2021" s="12" t="str">
        <f>IFERROR(__xludf.DUMMYFUNCTION("""COMPUTED_VALUE"""),"ESNT-US")</f>
        <v>ESNT-US</v>
      </c>
      <c r="C2021" s="12"/>
      <c r="D2021" s="13">
        <f>IFERROR(__xludf.DUMMYFUNCTION("""COMPUTED_VALUE"""),45464.0)</f>
        <v>45464</v>
      </c>
      <c r="E2021" s="13">
        <f>IFERROR(__xludf.DUMMYFUNCTION("""COMPUTED_VALUE"""),45784.0)</f>
        <v>45784</v>
      </c>
      <c r="F2021" s="13">
        <f>IFERROR(__xludf.DUMMYFUNCTION("""COMPUTED_VALUE"""),45784.0)</f>
        <v>45784</v>
      </c>
      <c r="G2021" s="12"/>
      <c r="H2021" s="12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</row>
    <row r="2022">
      <c r="A2022" s="11" t="str">
        <f>IFERROR(__xludf.DUMMYFUNCTION("""COMPUTED_VALUE"""),"Selective Insurance Group Inc  Com")</f>
        <v>Selective Insurance Group Inc  Com</v>
      </c>
      <c r="B2022" s="12" t="str">
        <f>IFERROR(__xludf.DUMMYFUNCTION("""COMPUTED_VALUE"""),"SIGI-US")</f>
        <v>SIGI-US</v>
      </c>
      <c r="C2022" s="12"/>
      <c r="D2022" s="13">
        <f>IFERROR(__xludf.DUMMYFUNCTION("""COMPUTED_VALUE"""),45464.0)</f>
        <v>45464</v>
      </c>
      <c r="E2022" s="13">
        <f>IFERROR(__xludf.DUMMYFUNCTION("""COMPUTED_VALUE"""),45777.0)</f>
        <v>45777</v>
      </c>
      <c r="F2022" s="13">
        <f>IFERROR(__xludf.DUMMYFUNCTION("""COMPUTED_VALUE"""),45777.0)</f>
        <v>45777</v>
      </c>
      <c r="G2022" s="12"/>
      <c r="H2022" s="12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</row>
    <row r="2023">
      <c r="A2023" s="11" t="str">
        <f>IFERROR(__xludf.DUMMYFUNCTION("""COMPUTED_VALUE"""),"Brunswick Corp  Com")</f>
        <v>Brunswick Corp  Com</v>
      </c>
      <c r="B2023" s="12" t="str">
        <f>IFERROR(__xludf.DUMMYFUNCTION("""COMPUTED_VALUE"""),"BC-US")</f>
        <v>BC-US</v>
      </c>
      <c r="C2023" s="12"/>
      <c r="D2023" s="13">
        <f>IFERROR(__xludf.DUMMYFUNCTION("""COMPUTED_VALUE"""),45464.0)</f>
        <v>45464</v>
      </c>
      <c r="E2023" s="13">
        <f>IFERROR(__xludf.DUMMYFUNCTION("""COMPUTED_VALUE"""),45784.0)</f>
        <v>45784</v>
      </c>
      <c r="F2023" s="13">
        <f>IFERROR(__xludf.DUMMYFUNCTION("""COMPUTED_VALUE"""),45784.0)</f>
        <v>45784</v>
      </c>
      <c r="G2023" s="12"/>
      <c r="H2023" s="12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</row>
    <row r="2024">
      <c r="A2024" s="11" t="str">
        <f>IFERROR(__xludf.DUMMYFUNCTION("""COMPUTED_VALUE"""),"Primoris Services Corp  Com")</f>
        <v>Primoris Services Corp  Com</v>
      </c>
      <c r="B2024" s="12" t="str">
        <f>IFERROR(__xludf.DUMMYFUNCTION("""COMPUTED_VALUE"""),"PRIM-US")</f>
        <v>PRIM-US</v>
      </c>
      <c r="C2024" s="12"/>
      <c r="D2024" s="13">
        <f>IFERROR(__xludf.DUMMYFUNCTION("""COMPUTED_VALUE"""),45464.0)</f>
        <v>45464</v>
      </c>
      <c r="E2024" s="13">
        <f>IFERROR(__xludf.DUMMYFUNCTION("""COMPUTED_VALUE"""),45777.0)</f>
        <v>45777</v>
      </c>
      <c r="F2024" s="13">
        <f>IFERROR(__xludf.DUMMYFUNCTION("""COMPUTED_VALUE"""),45777.0)</f>
        <v>45777</v>
      </c>
      <c r="G2024" s="12"/>
      <c r="H2024" s="12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</row>
    <row r="2025">
      <c r="A2025" s="11" t="str">
        <f>IFERROR(__xludf.DUMMYFUNCTION("""COMPUTED_VALUE"""),"Kemper Corp  Com")</f>
        <v>Kemper Corp  Com</v>
      </c>
      <c r="B2025" s="12" t="str">
        <f>IFERROR(__xludf.DUMMYFUNCTION("""COMPUTED_VALUE"""),"KMPR-US")</f>
        <v>KMPR-US</v>
      </c>
      <c r="C2025" s="12"/>
      <c r="D2025" s="13">
        <f>IFERROR(__xludf.DUMMYFUNCTION("""COMPUTED_VALUE"""),45464.0)</f>
        <v>45464</v>
      </c>
      <c r="E2025" s="13">
        <f>IFERROR(__xludf.DUMMYFUNCTION("""COMPUTED_VALUE"""),45784.0)</f>
        <v>45784</v>
      </c>
      <c r="F2025" s="13">
        <f>IFERROR(__xludf.DUMMYFUNCTION("""COMPUTED_VALUE"""),45784.0)</f>
        <v>45784</v>
      </c>
      <c r="G2025" s="12"/>
      <c r="H2025" s="12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</row>
    <row r="2026">
      <c r="A2026" s="11" t="str">
        <f>IFERROR(__xludf.DUMMYFUNCTION("""COMPUTED_VALUE"""),"Vericel Corp  Com")</f>
        <v>Vericel Corp  Com</v>
      </c>
      <c r="B2026" s="12" t="str">
        <f>IFERROR(__xludf.DUMMYFUNCTION("""COMPUTED_VALUE"""),"VCEL-US")</f>
        <v>VCEL-US</v>
      </c>
      <c r="C2026" s="12"/>
      <c r="D2026" s="13">
        <f>IFERROR(__xludf.DUMMYFUNCTION("""COMPUTED_VALUE"""),45464.0)</f>
        <v>45464</v>
      </c>
      <c r="E2026" s="13">
        <f>IFERROR(__xludf.DUMMYFUNCTION("""COMPUTED_VALUE"""),45777.0)</f>
        <v>45777</v>
      </c>
      <c r="F2026" s="13">
        <f>IFERROR(__xludf.DUMMYFUNCTION("""COMPUTED_VALUE"""),45777.0)</f>
        <v>45777</v>
      </c>
      <c r="G2026" s="12"/>
      <c r="H2026" s="12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</row>
    <row r="2027">
      <c r="A2027" s="11" t="str">
        <f>IFERROR(__xludf.DUMMYFUNCTION("""COMPUTED_VALUE"""),"Urban Edge Properties  Com")</f>
        <v>Urban Edge Properties  Com</v>
      </c>
      <c r="B2027" s="12" t="str">
        <f>IFERROR(__xludf.DUMMYFUNCTION("""COMPUTED_VALUE"""),"UE-US")</f>
        <v>UE-US</v>
      </c>
      <c r="C2027" s="12"/>
      <c r="D2027" s="13">
        <f>IFERROR(__xludf.DUMMYFUNCTION("""COMPUTED_VALUE"""),45467.0)</f>
        <v>45467</v>
      </c>
      <c r="E2027" s="13">
        <f>IFERROR(__xludf.DUMMYFUNCTION("""COMPUTED_VALUE"""),45784.0)</f>
        <v>45784</v>
      </c>
      <c r="F2027" s="13">
        <f>IFERROR(__xludf.DUMMYFUNCTION("""COMPUTED_VALUE"""),45784.0)</f>
        <v>45784</v>
      </c>
      <c r="G2027" s="12"/>
      <c r="H2027" s="12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</row>
    <row r="2028">
      <c r="A2028" s="11" t="str">
        <f>IFERROR(__xludf.DUMMYFUNCTION("""COMPUTED_VALUE"""),"Avista Corp  Com")</f>
        <v>Avista Corp  Com</v>
      </c>
      <c r="B2028" s="12" t="str">
        <f>IFERROR(__xludf.DUMMYFUNCTION("""COMPUTED_VALUE"""),"AVA-US")</f>
        <v>AVA-US</v>
      </c>
      <c r="C2028" s="12"/>
      <c r="D2028" s="13">
        <f>IFERROR(__xludf.DUMMYFUNCTION("""COMPUTED_VALUE"""),45467.0)</f>
        <v>45467</v>
      </c>
      <c r="E2028" s="13">
        <f>IFERROR(__xludf.DUMMYFUNCTION("""COMPUTED_VALUE"""),45785.0)</f>
        <v>45785</v>
      </c>
      <c r="F2028" s="13">
        <f>IFERROR(__xludf.DUMMYFUNCTION("""COMPUTED_VALUE"""),45785.0)</f>
        <v>45785</v>
      </c>
      <c r="G2028" s="12"/>
      <c r="H2028" s="12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</row>
    <row r="2029">
      <c r="A2029" s="11" t="str">
        <f>IFERROR(__xludf.DUMMYFUNCTION("""COMPUTED_VALUE"""),"Enterprise Financial Services  Com")</f>
        <v>Enterprise Financial Services  Com</v>
      </c>
      <c r="B2029" s="12" t="str">
        <f>IFERROR(__xludf.DUMMYFUNCTION("""COMPUTED_VALUE"""),"EFSC-US")</f>
        <v>EFSC-US</v>
      </c>
      <c r="C2029" s="12"/>
      <c r="D2029" s="13">
        <f>IFERROR(__xludf.DUMMYFUNCTION("""COMPUTED_VALUE"""),45467.0)</f>
        <v>45467</v>
      </c>
      <c r="E2029" s="13">
        <f>IFERROR(__xludf.DUMMYFUNCTION("""COMPUTED_VALUE"""),45784.0)</f>
        <v>45784</v>
      </c>
      <c r="F2029" s="13">
        <f>IFERROR(__xludf.DUMMYFUNCTION("""COMPUTED_VALUE"""),45784.0)</f>
        <v>45784</v>
      </c>
      <c r="G2029" s="12"/>
      <c r="H2029" s="12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</row>
    <row r="2030">
      <c r="A2030" s="11" t="str">
        <f>IFERROR(__xludf.DUMMYFUNCTION("""COMPUTED_VALUE"""),"Rogers Corp  Com")</f>
        <v>Rogers Corp  Com</v>
      </c>
      <c r="B2030" s="12" t="str">
        <f>IFERROR(__xludf.DUMMYFUNCTION("""COMPUTED_VALUE"""),"ROG-US")</f>
        <v>ROG-US</v>
      </c>
      <c r="C2030" s="12"/>
      <c r="D2030" s="13">
        <f>IFERROR(__xludf.DUMMYFUNCTION("""COMPUTED_VALUE"""),45468.0)</f>
        <v>45468</v>
      </c>
      <c r="E2030" s="13">
        <f>IFERROR(__xludf.DUMMYFUNCTION("""COMPUTED_VALUE"""),45782.0)</f>
        <v>45782</v>
      </c>
      <c r="F2030" s="13">
        <f>IFERROR(__xludf.DUMMYFUNCTION("""COMPUTED_VALUE"""),45782.0)</f>
        <v>45782</v>
      </c>
      <c r="G2030" s="12"/>
      <c r="H2030" s="12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</row>
    <row r="2031">
      <c r="A2031" s="11" t="str">
        <f>IFERROR(__xludf.DUMMYFUNCTION("""COMPUTED_VALUE"""),"Diamondrock Hospitality Co  Com")</f>
        <v>Diamondrock Hospitality Co  Com</v>
      </c>
      <c r="B2031" s="12" t="str">
        <f>IFERROR(__xludf.DUMMYFUNCTION("""COMPUTED_VALUE"""),"DRH-US")</f>
        <v>DRH-US</v>
      </c>
      <c r="C2031" s="12"/>
      <c r="D2031" s="13">
        <f>IFERROR(__xludf.DUMMYFUNCTION("""COMPUTED_VALUE"""),45468.0)</f>
        <v>45468</v>
      </c>
      <c r="E2031" s="13">
        <f>IFERROR(__xludf.DUMMYFUNCTION("""COMPUTED_VALUE"""),45776.0)</f>
        <v>45776</v>
      </c>
      <c r="F2031" s="13">
        <f>IFERROR(__xludf.DUMMYFUNCTION("""COMPUTED_VALUE"""),45776.0)</f>
        <v>45776</v>
      </c>
      <c r="G2031" s="12"/>
      <c r="H2031" s="12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</row>
    <row r="2032">
      <c r="A2032" s="11" t="str">
        <f>IFERROR(__xludf.DUMMYFUNCTION("""COMPUTED_VALUE"""),"Pilgrims Pride Corp  Com")</f>
        <v>Pilgrims Pride Corp  Com</v>
      </c>
      <c r="B2032" s="12" t="str">
        <f>IFERROR(__xludf.DUMMYFUNCTION("""COMPUTED_VALUE"""),"PPC-US")</f>
        <v>PPC-US</v>
      </c>
      <c r="C2032" s="12"/>
      <c r="D2032" s="13">
        <f>IFERROR(__xludf.DUMMYFUNCTION("""COMPUTED_VALUE"""),45468.0)</f>
        <v>45468</v>
      </c>
      <c r="E2032" s="13">
        <f>IFERROR(__xludf.DUMMYFUNCTION("""COMPUTED_VALUE"""),45777.0)</f>
        <v>45777</v>
      </c>
      <c r="F2032" s="13">
        <f>IFERROR(__xludf.DUMMYFUNCTION("""COMPUTED_VALUE"""),45777.0)</f>
        <v>45777</v>
      </c>
      <c r="G2032" s="12"/>
      <c r="H2032" s="12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</row>
    <row r="2033">
      <c r="A2033" s="11" t="str">
        <f>IFERROR(__xludf.DUMMYFUNCTION("""COMPUTED_VALUE"""),"Gibraltar Industries Inc  Com")</f>
        <v>Gibraltar Industries Inc  Com</v>
      </c>
      <c r="B2033" s="12" t="str">
        <f>IFERROR(__xludf.DUMMYFUNCTION("""COMPUTED_VALUE"""),"ROCK-US")</f>
        <v>ROCK-US</v>
      </c>
      <c r="C2033" s="12"/>
      <c r="D2033" s="13">
        <f>IFERROR(__xludf.DUMMYFUNCTION("""COMPUTED_VALUE"""),45468.0)</f>
        <v>45468</v>
      </c>
      <c r="E2033" s="13">
        <f>IFERROR(__xludf.DUMMYFUNCTION("""COMPUTED_VALUE"""),45777.0)</f>
        <v>45777</v>
      </c>
      <c r="F2033" s="13">
        <f>IFERROR(__xludf.DUMMYFUNCTION("""COMPUTED_VALUE"""),45777.0)</f>
        <v>45777</v>
      </c>
      <c r="G2033" s="12"/>
      <c r="H2033" s="12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</row>
    <row r="2034">
      <c r="A2034" s="11" t="str">
        <f>IFERROR(__xludf.DUMMYFUNCTION("""COMPUTED_VALUE"""),"Cna Financial Corp  Com")</f>
        <v>Cna Financial Corp  Com</v>
      </c>
      <c r="B2034" s="12" t="str">
        <f>IFERROR(__xludf.DUMMYFUNCTION("""COMPUTED_VALUE"""),"CNA-US")</f>
        <v>CNA-US</v>
      </c>
      <c r="C2034" s="12"/>
      <c r="D2034" s="13">
        <f>IFERROR(__xludf.DUMMYFUNCTION("""COMPUTED_VALUE"""),45468.0)</f>
        <v>45468</v>
      </c>
      <c r="E2034" s="13">
        <f>IFERROR(__xludf.DUMMYFUNCTION("""COMPUTED_VALUE"""),45777.0)</f>
        <v>45777</v>
      </c>
      <c r="F2034" s="13">
        <f>IFERROR(__xludf.DUMMYFUNCTION("""COMPUTED_VALUE"""),45777.0)</f>
        <v>45777</v>
      </c>
      <c r="G2034" s="12"/>
      <c r="H2034" s="12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</row>
    <row r="2035">
      <c r="A2035" s="11" t="str">
        <f>IFERROR(__xludf.DUMMYFUNCTION("""COMPUTED_VALUE"""),"Tennant Co  Com")</f>
        <v>Tennant Co  Com</v>
      </c>
      <c r="B2035" s="12" t="str">
        <f>IFERROR(__xludf.DUMMYFUNCTION("""COMPUTED_VALUE"""),"TNC-US")</f>
        <v>TNC-US</v>
      </c>
      <c r="C2035" s="12"/>
      <c r="D2035" s="13">
        <f>IFERROR(__xludf.DUMMYFUNCTION("""COMPUTED_VALUE"""),45468.0)</f>
        <v>45468</v>
      </c>
      <c r="E2035" s="13">
        <f>IFERROR(__xludf.DUMMYFUNCTION("""COMPUTED_VALUE"""),45776.0)</f>
        <v>45776</v>
      </c>
      <c r="F2035" s="13">
        <f>IFERROR(__xludf.DUMMYFUNCTION("""COMPUTED_VALUE"""),45776.0)</f>
        <v>45776</v>
      </c>
      <c r="G2035" s="12"/>
      <c r="H2035" s="12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</row>
    <row r="2036">
      <c r="A2036" s="11" t="str">
        <f>IFERROR(__xludf.DUMMYFUNCTION("""COMPUTED_VALUE"""),"Turning Point Brands Inc  Com")</f>
        <v>Turning Point Brands Inc  Com</v>
      </c>
      <c r="B2036" s="12" t="str">
        <f>IFERROR(__xludf.DUMMYFUNCTION("""COMPUTED_VALUE"""),"TPB-US")</f>
        <v>TPB-US</v>
      </c>
      <c r="C2036" s="12"/>
      <c r="D2036" s="13">
        <f>IFERROR(__xludf.DUMMYFUNCTION("""COMPUTED_VALUE"""),45468.0)</f>
        <v>45468</v>
      </c>
      <c r="E2036" s="13">
        <f>IFERROR(__xludf.DUMMYFUNCTION("""COMPUTED_VALUE"""),45783.0)</f>
        <v>45783</v>
      </c>
      <c r="F2036" s="13">
        <f>IFERROR(__xludf.DUMMYFUNCTION("""COMPUTED_VALUE"""),45783.0)</f>
        <v>45783</v>
      </c>
      <c r="G2036" s="12"/>
      <c r="H2036" s="12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</row>
    <row r="2037">
      <c r="A2037" s="11" t="str">
        <f>IFERROR(__xludf.DUMMYFUNCTION("""COMPUTED_VALUE"""),"National Bank Holdings Corp  Cl A")</f>
        <v>National Bank Holdings Corp  Cl A</v>
      </c>
      <c r="B2037" s="12" t="str">
        <f>IFERROR(__xludf.DUMMYFUNCTION("""COMPUTED_VALUE"""),"NBHC-US")</f>
        <v>NBHC-US</v>
      </c>
      <c r="C2037" s="12"/>
      <c r="D2037" s="13">
        <f>IFERROR(__xludf.DUMMYFUNCTION("""COMPUTED_VALUE"""),45468.0)</f>
        <v>45468</v>
      </c>
      <c r="E2037" s="13">
        <f>IFERROR(__xludf.DUMMYFUNCTION("""COMPUTED_VALUE"""),45777.0)</f>
        <v>45777</v>
      </c>
      <c r="F2037" s="13">
        <f>IFERROR(__xludf.DUMMYFUNCTION("""COMPUTED_VALUE"""),45777.0)</f>
        <v>45777</v>
      </c>
      <c r="G2037" s="12"/>
      <c r="H2037" s="12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</row>
    <row r="2038">
      <c r="A2038" s="11" t="str">
        <f>IFERROR(__xludf.DUMMYFUNCTION("""COMPUTED_VALUE"""),"Kodiak Gas Service Inc  Com")</f>
        <v>Kodiak Gas Service Inc  Com</v>
      </c>
      <c r="B2038" s="12" t="str">
        <f>IFERROR(__xludf.DUMMYFUNCTION("""COMPUTED_VALUE"""),"KGS-US")</f>
        <v>KGS-US</v>
      </c>
      <c r="C2038" s="12"/>
      <c r="D2038" s="13">
        <f>IFERROR(__xludf.DUMMYFUNCTION("""COMPUTED_VALUE"""),45469.0)</f>
        <v>45469</v>
      </c>
      <c r="E2038" s="13">
        <f>IFERROR(__xludf.DUMMYFUNCTION("""COMPUTED_VALUE"""),45770.0)</f>
        <v>45770</v>
      </c>
      <c r="F2038" s="13">
        <f>IFERROR(__xludf.DUMMYFUNCTION("""COMPUTED_VALUE"""),45770.0)</f>
        <v>45770</v>
      </c>
      <c r="G2038" s="12"/>
      <c r="H2038" s="12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</row>
    <row r="2039">
      <c r="A2039" s="11" t="str">
        <f>IFERROR(__xludf.DUMMYFUNCTION("""COMPUTED_VALUE"""),"Unitil Corp  Com")</f>
        <v>Unitil Corp  Com</v>
      </c>
      <c r="B2039" s="12" t="str">
        <f>IFERROR(__xludf.DUMMYFUNCTION("""COMPUTED_VALUE"""),"UTL-US")</f>
        <v>UTL-US</v>
      </c>
      <c r="C2039" s="12"/>
      <c r="D2039" s="13">
        <f>IFERROR(__xludf.DUMMYFUNCTION("""COMPUTED_VALUE"""),45469.0)</f>
        <v>45469</v>
      </c>
      <c r="E2039" s="13">
        <f>IFERROR(__xludf.DUMMYFUNCTION("""COMPUTED_VALUE"""),45777.0)</f>
        <v>45777</v>
      </c>
      <c r="F2039" s="13">
        <f>IFERROR(__xludf.DUMMYFUNCTION("""COMPUTED_VALUE"""),45777.0)</f>
        <v>45777</v>
      </c>
      <c r="G2039" s="12"/>
      <c r="H2039" s="12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</row>
    <row r="2040">
      <c r="A2040" s="11" t="str">
        <f>IFERROR(__xludf.DUMMYFUNCTION("""COMPUTED_VALUE"""),"Tpg Re Finance Trust Inc  Com")</f>
        <v>Tpg Re Finance Trust Inc  Com</v>
      </c>
      <c r="B2040" s="12" t="str">
        <f>IFERROR(__xludf.DUMMYFUNCTION("""COMPUTED_VALUE"""),"TRTX-US")</f>
        <v>TRTX-US</v>
      </c>
      <c r="C2040" s="12"/>
      <c r="D2040" s="13">
        <f>IFERROR(__xludf.DUMMYFUNCTION("""COMPUTED_VALUE"""),45469.0)</f>
        <v>45469</v>
      </c>
      <c r="E2040" s="13">
        <f>IFERROR(__xludf.DUMMYFUNCTION("""COMPUTED_VALUE"""),45797.0)</f>
        <v>45797</v>
      </c>
      <c r="F2040" s="13">
        <f>IFERROR(__xludf.DUMMYFUNCTION("""COMPUTED_VALUE"""),45797.0)</f>
        <v>45797</v>
      </c>
      <c r="G2040" s="12"/>
      <c r="H2040" s="12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</row>
    <row r="2041">
      <c r="A2041" s="11" t="str">
        <f>IFERROR(__xludf.DUMMYFUNCTION("""COMPUTED_VALUE"""),"Unisys Corp  Com")</f>
        <v>Unisys Corp  Com</v>
      </c>
      <c r="B2041" s="12" t="str">
        <f>IFERROR(__xludf.DUMMYFUNCTION("""COMPUTED_VALUE"""),"UIS-US")</f>
        <v>UIS-US</v>
      </c>
      <c r="C2041" s="12"/>
      <c r="D2041" s="13">
        <f>IFERROR(__xludf.DUMMYFUNCTION("""COMPUTED_VALUE"""),45469.0)</f>
        <v>45469</v>
      </c>
      <c r="E2041" s="13">
        <f>IFERROR(__xludf.DUMMYFUNCTION("""COMPUTED_VALUE"""),45785.0)</f>
        <v>45785</v>
      </c>
      <c r="F2041" s="13">
        <f>IFERROR(__xludf.DUMMYFUNCTION("""COMPUTED_VALUE"""),45785.0)</f>
        <v>45785</v>
      </c>
      <c r="G2041" s="12"/>
      <c r="H2041" s="12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</row>
    <row r="2042">
      <c r="A2042" s="11" t="str">
        <f>IFERROR(__xludf.DUMMYFUNCTION("""COMPUTED_VALUE"""),"Chord Energy Corp  Wt 09/01/25")</f>
        <v>Chord Energy Corp  Wt 09/01/25</v>
      </c>
      <c r="B2042" s="12" t="str">
        <f>IFERROR(__xludf.DUMMYFUNCTION("""COMPUTED_VALUE"""),"WLLBW-US")</f>
        <v>WLLBW-US</v>
      </c>
      <c r="C2042" s="12"/>
      <c r="D2042" s="13">
        <f>IFERROR(__xludf.DUMMYFUNCTION("""COMPUTED_VALUE"""),45469.0)</f>
        <v>45469</v>
      </c>
      <c r="E2042" s="13">
        <f>IFERROR(__xludf.DUMMYFUNCTION("""COMPUTED_VALUE"""),45777.0)</f>
        <v>45777</v>
      </c>
      <c r="F2042" s="13">
        <f>IFERROR(__xludf.DUMMYFUNCTION("""COMPUTED_VALUE"""),45777.0)</f>
        <v>45777</v>
      </c>
      <c r="G2042" s="12"/>
      <c r="H2042" s="12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</row>
    <row r="2043">
      <c r="A2043" s="11" t="str">
        <f>IFERROR(__xludf.DUMMYFUNCTION("""COMPUTED_VALUE"""),"Wells Fargo &amp; Co  Com")</f>
        <v>Wells Fargo &amp; Co  Com</v>
      </c>
      <c r="B2043" s="12" t="str">
        <f>IFERROR(__xludf.DUMMYFUNCTION("""COMPUTED_VALUE"""),"WFC-US")</f>
        <v>WFC-US</v>
      </c>
      <c r="C2043" s="12"/>
      <c r="D2043" s="13">
        <f>IFERROR(__xludf.DUMMYFUNCTION("""COMPUTED_VALUE"""),45469.0)</f>
        <v>45469</v>
      </c>
      <c r="E2043" s="13">
        <f>IFERROR(__xludf.DUMMYFUNCTION("""COMPUTED_VALUE"""),45776.0)</f>
        <v>45776</v>
      </c>
      <c r="F2043" s="13">
        <f>IFERROR(__xludf.DUMMYFUNCTION("""COMPUTED_VALUE"""),45776.0)</f>
        <v>45776</v>
      </c>
      <c r="G2043" s="12"/>
      <c r="H2043" s="12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</row>
    <row r="2044">
      <c r="A2044" s="11" t="str">
        <f>IFERROR(__xludf.DUMMYFUNCTION("""COMPUTED_VALUE"""),"International Business Machines  Com")</f>
        <v>International Business Machines  Com</v>
      </c>
      <c r="B2044" s="12" t="str">
        <f>IFERROR(__xludf.DUMMYFUNCTION("""COMPUTED_VALUE"""),"IBM-US")</f>
        <v>IBM-US</v>
      </c>
      <c r="C2044" s="12"/>
      <c r="D2044" s="13">
        <f>IFERROR(__xludf.DUMMYFUNCTION("""COMPUTED_VALUE"""),45469.0)</f>
        <v>45469</v>
      </c>
      <c r="E2044" s="13">
        <f>IFERROR(__xludf.DUMMYFUNCTION("""COMPUTED_VALUE"""),45776.0)</f>
        <v>45776</v>
      </c>
      <c r="F2044" s="13">
        <f>IFERROR(__xludf.DUMMYFUNCTION("""COMPUTED_VALUE"""),45776.0)</f>
        <v>45776</v>
      </c>
      <c r="G2044" s="12"/>
      <c r="H2044" s="12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</row>
    <row r="2045">
      <c r="A2045" s="11" t="str">
        <f>IFERROR(__xludf.DUMMYFUNCTION("""COMPUTED_VALUE"""),"Citigroup Inc  Com")</f>
        <v>Citigroup Inc  Com</v>
      </c>
      <c r="B2045" s="12" t="str">
        <f>IFERROR(__xludf.DUMMYFUNCTION("""COMPUTED_VALUE"""),"C-US")</f>
        <v>C-US</v>
      </c>
      <c r="C2045" s="12"/>
      <c r="D2045" s="13">
        <f>IFERROR(__xludf.DUMMYFUNCTION("""COMPUTED_VALUE"""),45469.0)</f>
        <v>45469</v>
      </c>
      <c r="E2045" s="13">
        <f>IFERROR(__xludf.DUMMYFUNCTION("""COMPUTED_VALUE"""),45776.0)</f>
        <v>45776</v>
      </c>
      <c r="F2045" s="13">
        <f>IFERROR(__xludf.DUMMYFUNCTION("""COMPUTED_VALUE"""),45776.0)</f>
        <v>45776</v>
      </c>
      <c r="G2045" s="12"/>
      <c r="H2045" s="12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</row>
    <row r="2046">
      <c r="A2046" s="11" t="str">
        <f>IFERROR(__xludf.DUMMYFUNCTION("""COMPUTED_VALUE"""),"Constellation Energy Corp  Com")</f>
        <v>Constellation Energy Corp  Com</v>
      </c>
      <c r="B2046" s="12" t="str">
        <f>IFERROR(__xludf.DUMMYFUNCTION("""COMPUTED_VALUE"""),"CEG-US")</f>
        <v>CEG-US</v>
      </c>
      <c r="C2046" s="12"/>
      <c r="D2046" s="13">
        <f>IFERROR(__xludf.DUMMYFUNCTION("""COMPUTED_VALUE"""),45469.0)</f>
        <v>45469</v>
      </c>
      <c r="E2046" s="13">
        <f>IFERROR(__xludf.DUMMYFUNCTION("""COMPUTED_VALUE"""),45776.0)</f>
        <v>45776</v>
      </c>
      <c r="F2046" s="13">
        <f>IFERROR(__xludf.DUMMYFUNCTION("""COMPUTED_VALUE"""),45776.0)</f>
        <v>45776</v>
      </c>
      <c r="G2046" s="12"/>
      <c r="H2046" s="12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</row>
    <row r="2047">
      <c r="A2047" s="11" t="str">
        <f>IFERROR(__xludf.DUMMYFUNCTION("""COMPUTED_VALUE"""),"Williams Companies Inc  Com")</f>
        <v>Williams Companies Inc  Com</v>
      </c>
      <c r="B2047" s="12" t="str">
        <f>IFERROR(__xludf.DUMMYFUNCTION("""COMPUTED_VALUE"""),"WMB-US")</f>
        <v>WMB-US</v>
      </c>
      <c r="C2047" s="12"/>
      <c r="D2047" s="13">
        <f>IFERROR(__xludf.DUMMYFUNCTION("""COMPUTED_VALUE"""),45470.0)</f>
        <v>45470</v>
      </c>
      <c r="E2047" s="13">
        <f>IFERROR(__xludf.DUMMYFUNCTION("""COMPUTED_VALUE"""),45776.0)</f>
        <v>45776</v>
      </c>
      <c r="F2047" s="13">
        <f>IFERROR(__xludf.DUMMYFUNCTION("""COMPUTED_VALUE"""),45776.0)</f>
        <v>45776</v>
      </c>
      <c r="G2047" s="12"/>
      <c r="H2047" s="12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</row>
    <row r="2048">
      <c r="A2048" s="11" t="str">
        <f>IFERROR(__xludf.DUMMYFUNCTION("""COMPUTED_VALUE"""),"Paccar Inc  Com")</f>
        <v>Paccar Inc  Com</v>
      </c>
      <c r="B2048" s="12" t="str">
        <f>IFERROR(__xludf.DUMMYFUNCTION("""COMPUTED_VALUE"""),"PCAR-US")</f>
        <v>PCAR-US</v>
      </c>
      <c r="C2048" s="12"/>
      <c r="D2048" s="13">
        <f>IFERROR(__xludf.DUMMYFUNCTION("""COMPUTED_VALUE"""),45470.0)</f>
        <v>45470</v>
      </c>
      <c r="E2048" s="13">
        <f>IFERROR(__xludf.DUMMYFUNCTION("""COMPUTED_VALUE"""),45776.0)</f>
        <v>45776</v>
      </c>
      <c r="F2048" s="13">
        <f>IFERROR(__xludf.DUMMYFUNCTION("""COMPUTED_VALUE"""),45776.0)</f>
        <v>45776</v>
      </c>
      <c r="G2048" s="12"/>
      <c r="H2048" s="12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</row>
    <row r="2049">
      <c r="A2049" s="11" t="str">
        <f>IFERROR(__xludf.DUMMYFUNCTION("""COMPUTED_VALUE"""),"Exelon Corp  Com")</f>
        <v>Exelon Corp  Com</v>
      </c>
      <c r="B2049" s="12" t="str">
        <f>IFERROR(__xludf.DUMMYFUNCTION("""COMPUTED_VALUE"""),"EXC-US")</f>
        <v>EXC-US</v>
      </c>
      <c r="C2049" s="12"/>
      <c r="D2049" s="13">
        <f>IFERROR(__xludf.DUMMYFUNCTION("""COMPUTED_VALUE"""),45470.0)</f>
        <v>45470</v>
      </c>
      <c r="E2049" s="13">
        <f>IFERROR(__xludf.DUMMYFUNCTION("""COMPUTED_VALUE"""),45776.0)</f>
        <v>45776</v>
      </c>
      <c r="F2049" s="13">
        <f>IFERROR(__xludf.DUMMYFUNCTION("""COMPUTED_VALUE"""),45776.0)</f>
        <v>45776</v>
      </c>
      <c r="G2049" s="12"/>
      <c r="H2049" s="12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</row>
    <row r="2050">
      <c r="A2050" s="11" t="str">
        <f>IFERROR(__xludf.DUMMYFUNCTION("""COMPUTED_VALUE"""),"Vici Properties Inc  Com")</f>
        <v>Vici Properties Inc  Com</v>
      </c>
      <c r="B2050" s="12" t="str">
        <f>IFERROR(__xludf.DUMMYFUNCTION("""COMPUTED_VALUE"""),"VICI-US")</f>
        <v>VICI-US</v>
      </c>
      <c r="C2050" s="12"/>
      <c r="D2050" s="13">
        <f>IFERROR(__xludf.DUMMYFUNCTION("""COMPUTED_VALUE"""),45470.0)</f>
        <v>45470</v>
      </c>
      <c r="E2050" s="13">
        <f>IFERROR(__xludf.DUMMYFUNCTION("""COMPUTED_VALUE"""),45776.0)</f>
        <v>45776</v>
      </c>
      <c r="F2050" s="13">
        <f>IFERROR(__xludf.DUMMYFUNCTION("""COMPUTED_VALUE"""),45776.0)</f>
        <v>45776</v>
      </c>
      <c r="G2050" s="12"/>
      <c r="H2050" s="12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</row>
    <row r="2051">
      <c r="A2051" s="11" t="str">
        <f>IFERROR(__xludf.DUMMYFUNCTION("""COMPUTED_VALUE"""),"Equity Lifestyle Properties Inc  Com")</f>
        <v>Equity Lifestyle Properties Inc  Com</v>
      </c>
      <c r="B2051" s="12" t="str">
        <f>IFERROR(__xludf.DUMMYFUNCTION("""COMPUTED_VALUE"""),"ELS-US")</f>
        <v>ELS-US</v>
      </c>
      <c r="C2051" s="12"/>
      <c r="D2051" s="13">
        <f>IFERROR(__xludf.DUMMYFUNCTION("""COMPUTED_VALUE"""),45470.0)</f>
        <v>45470</v>
      </c>
      <c r="E2051" s="13">
        <f>IFERROR(__xludf.DUMMYFUNCTION("""COMPUTED_VALUE"""),45776.0)</f>
        <v>45776</v>
      </c>
      <c r="F2051" s="13">
        <f>IFERROR(__xludf.DUMMYFUNCTION("""COMPUTED_VALUE"""),45776.0)</f>
        <v>45776</v>
      </c>
      <c r="G2051" s="12"/>
      <c r="H2051" s="12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</row>
    <row r="2052">
      <c r="A2052" s="11" t="str">
        <f>IFERROR(__xludf.DUMMYFUNCTION("""COMPUTED_VALUE"""),"Planet Fitness Inc  Cl A")</f>
        <v>Planet Fitness Inc  Cl A</v>
      </c>
      <c r="B2052" s="12" t="str">
        <f>IFERROR(__xludf.DUMMYFUNCTION("""COMPUTED_VALUE"""),"PLNT-US")</f>
        <v>PLNT-US</v>
      </c>
      <c r="C2052" s="12"/>
      <c r="D2052" s="13">
        <f>IFERROR(__xludf.DUMMYFUNCTION("""COMPUTED_VALUE"""),45470.0)</f>
        <v>45470</v>
      </c>
      <c r="E2052" s="13">
        <f>IFERROR(__xludf.DUMMYFUNCTION("""COMPUTED_VALUE"""),45783.0)</f>
        <v>45783</v>
      </c>
      <c r="F2052" s="13">
        <f>IFERROR(__xludf.DUMMYFUNCTION("""COMPUTED_VALUE"""),45783.0)</f>
        <v>45783</v>
      </c>
      <c r="G2052" s="12"/>
      <c r="H2052" s="12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</row>
    <row r="2053">
      <c r="A2053" s="11" t="str">
        <f>IFERROR(__xludf.DUMMYFUNCTION("""COMPUTED_VALUE"""),"Bath &amp; Body Works Inc  Com")</f>
        <v>Bath &amp; Body Works Inc  Com</v>
      </c>
      <c r="B2053" s="12" t="str">
        <f>IFERROR(__xludf.DUMMYFUNCTION("""COMPUTED_VALUE"""),"BBWI-US")</f>
        <v>BBWI-US</v>
      </c>
      <c r="C2053" s="12"/>
      <c r="D2053" s="13">
        <f>IFERROR(__xludf.DUMMYFUNCTION("""COMPUTED_VALUE"""),45470.0)</f>
        <v>45470</v>
      </c>
      <c r="E2053" s="13">
        <f>IFERROR(__xludf.DUMMYFUNCTION("""COMPUTED_VALUE"""),45813.0)</f>
        <v>45813</v>
      </c>
      <c r="F2053" s="13">
        <f>IFERROR(__xludf.DUMMYFUNCTION("""COMPUTED_VALUE"""),45813.0)</f>
        <v>45813</v>
      </c>
      <c r="G2053" s="12"/>
      <c r="H2053" s="12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</row>
    <row r="2054">
      <c r="A2054" s="11" t="str">
        <f>IFERROR(__xludf.DUMMYFUNCTION("""COMPUTED_VALUE"""),"United States Steel Corp  Com")</f>
        <v>United States Steel Corp  Com</v>
      </c>
      <c r="B2054" s="12" t="str">
        <f>IFERROR(__xludf.DUMMYFUNCTION("""COMPUTED_VALUE"""),"X-US")</f>
        <v>X-US</v>
      </c>
      <c r="C2054" s="12"/>
      <c r="D2054" s="13">
        <f>IFERROR(__xludf.DUMMYFUNCTION("""COMPUTED_VALUE"""),45470.0)</f>
        <v>45470</v>
      </c>
      <c r="E2054" s="13">
        <f>IFERROR(__xludf.DUMMYFUNCTION("""COMPUTED_VALUE"""),45783.0)</f>
        <v>45783</v>
      </c>
      <c r="F2054" s="13">
        <f>IFERROR(__xludf.DUMMYFUNCTION("""COMPUTED_VALUE"""),45783.0)</f>
        <v>45783</v>
      </c>
      <c r="G2054" s="12"/>
      <c r="H2054" s="12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</row>
    <row r="2055">
      <c r="A2055" s="11" t="str">
        <f>IFERROR(__xludf.DUMMYFUNCTION("""COMPUTED_VALUE"""),"Ryan Specialty Holdings Inc  Cl A")</f>
        <v>Ryan Specialty Holdings Inc  Cl A</v>
      </c>
      <c r="B2055" s="12" t="str">
        <f>IFERROR(__xludf.DUMMYFUNCTION("""COMPUTED_VALUE"""),"RYAN-US")</f>
        <v>RYAN-US</v>
      </c>
      <c r="C2055" s="12"/>
      <c r="D2055" s="13">
        <f>IFERROR(__xludf.DUMMYFUNCTION("""COMPUTED_VALUE"""),45470.0)</f>
        <v>45470</v>
      </c>
      <c r="E2055" s="13">
        <f>IFERROR(__xludf.DUMMYFUNCTION("""COMPUTED_VALUE"""),45807.0)</f>
        <v>45807</v>
      </c>
      <c r="F2055" s="13">
        <f>IFERROR(__xludf.DUMMYFUNCTION("""COMPUTED_VALUE"""),45807.0)</f>
        <v>45807</v>
      </c>
      <c r="G2055" s="12"/>
      <c r="H2055" s="12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</row>
    <row r="2056">
      <c r="A2056" s="11" t="str">
        <f>IFERROR(__xludf.DUMMYFUNCTION("""COMPUTED_VALUE"""),"Fmc Corp  Com")</f>
        <v>Fmc Corp  Com</v>
      </c>
      <c r="B2056" s="12" t="str">
        <f>IFERROR(__xludf.DUMMYFUNCTION("""COMPUTED_VALUE"""),"FMC-US")</f>
        <v>FMC-US</v>
      </c>
      <c r="C2056" s="12"/>
      <c r="D2056" s="13">
        <f>IFERROR(__xludf.DUMMYFUNCTION("""COMPUTED_VALUE"""),45470.0)</f>
        <v>45470</v>
      </c>
      <c r="E2056" s="13">
        <f>IFERROR(__xludf.DUMMYFUNCTION("""COMPUTED_VALUE"""),45776.0)</f>
        <v>45776</v>
      </c>
      <c r="F2056" s="13">
        <f>IFERROR(__xludf.DUMMYFUNCTION("""COMPUTED_VALUE"""),45776.0)</f>
        <v>45776</v>
      </c>
      <c r="G2056" s="12"/>
      <c r="H2056" s="12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</row>
    <row r="2057">
      <c r="A2057" s="11" t="str">
        <f>IFERROR(__xludf.DUMMYFUNCTION("""COMPUTED_VALUE"""),"Umb Financial Corp  Com")</f>
        <v>Umb Financial Corp  Com</v>
      </c>
      <c r="B2057" s="12" t="str">
        <f>IFERROR(__xludf.DUMMYFUNCTION("""COMPUTED_VALUE"""),"UMBF-US")</f>
        <v>UMBF-US</v>
      </c>
      <c r="C2057" s="12"/>
      <c r="D2057" s="13">
        <f>IFERROR(__xludf.DUMMYFUNCTION("""COMPUTED_VALUE"""),45470.0)</f>
        <v>45470</v>
      </c>
      <c r="E2057" s="13">
        <f>IFERROR(__xludf.DUMMYFUNCTION("""COMPUTED_VALUE"""),45776.0)</f>
        <v>45776</v>
      </c>
      <c r="F2057" s="13">
        <f>IFERROR(__xludf.DUMMYFUNCTION("""COMPUTED_VALUE"""),45776.0)</f>
        <v>45776</v>
      </c>
      <c r="G2057" s="12"/>
      <c r="H2057" s="12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</row>
    <row r="2058">
      <c r="A2058" s="11" t="str">
        <f>IFERROR(__xludf.DUMMYFUNCTION("""COMPUTED_VALUE"""),"Phillips Edison &amp; Co Inc  Com")</f>
        <v>Phillips Edison &amp; Co Inc  Com</v>
      </c>
      <c r="B2058" s="12" t="str">
        <f>IFERROR(__xludf.DUMMYFUNCTION("""COMPUTED_VALUE"""),"PECO-US")</f>
        <v>PECO-US</v>
      </c>
      <c r="C2058" s="12"/>
      <c r="D2058" s="13">
        <f>IFERROR(__xludf.DUMMYFUNCTION("""COMPUTED_VALUE"""),45470.0)</f>
        <v>45470</v>
      </c>
      <c r="E2058" s="13">
        <f>IFERROR(__xludf.DUMMYFUNCTION("""COMPUTED_VALUE"""),45778.0)</f>
        <v>45778</v>
      </c>
      <c r="F2058" s="13">
        <f>IFERROR(__xludf.DUMMYFUNCTION("""COMPUTED_VALUE"""),45778.0)</f>
        <v>45778</v>
      </c>
      <c r="G2058" s="12"/>
      <c r="H2058" s="12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</row>
    <row r="2059">
      <c r="A2059" s="11" t="str">
        <f>IFERROR(__xludf.DUMMYFUNCTION("""COMPUTED_VALUE"""),"Associated Banc Corp  Com")</f>
        <v>Associated Banc Corp  Com</v>
      </c>
      <c r="B2059" s="12" t="str">
        <f>IFERROR(__xludf.DUMMYFUNCTION("""COMPUTED_VALUE"""),"ASB-US")</f>
        <v>ASB-US</v>
      </c>
      <c r="C2059" s="12"/>
      <c r="D2059" s="13">
        <f>IFERROR(__xludf.DUMMYFUNCTION("""COMPUTED_VALUE"""),45470.0)</f>
        <v>45470</v>
      </c>
      <c r="E2059" s="13">
        <f>IFERROR(__xludf.DUMMYFUNCTION("""COMPUTED_VALUE"""),45776.0)</f>
        <v>45776</v>
      </c>
      <c r="F2059" s="13">
        <f>IFERROR(__xludf.DUMMYFUNCTION("""COMPUTED_VALUE"""),45776.0)</f>
        <v>45776</v>
      </c>
      <c r="G2059" s="12"/>
      <c r="H2059" s="12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</row>
    <row r="2060">
      <c r="A2060" s="11" t="str">
        <f>IFERROR(__xludf.DUMMYFUNCTION("""COMPUTED_VALUE"""),"Biohaven Ltd  Com")</f>
        <v>Biohaven Ltd  Com</v>
      </c>
      <c r="B2060" s="12" t="str">
        <f>IFERROR(__xludf.DUMMYFUNCTION("""COMPUTED_VALUE"""),"BHVN-US")</f>
        <v>BHVN-US</v>
      </c>
      <c r="C2060" s="12"/>
      <c r="D2060" s="13">
        <f>IFERROR(__xludf.DUMMYFUNCTION("""COMPUTED_VALUE"""),45470.0)</f>
        <v>45470</v>
      </c>
      <c r="E2060" s="13">
        <f>IFERROR(__xludf.DUMMYFUNCTION("""COMPUTED_VALUE"""),45782.0)</f>
        <v>45782</v>
      </c>
      <c r="F2060" s="13">
        <f>IFERROR(__xludf.DUMMYFUNCTION("""COMPUTED_VALUE"""),45782.0)</f>
        <v>45782</v>
      </c>
      <c r="G2060" s="12"/>
      <c r="H2060" s="12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</row>
    <row r="2061">
      <c r="A2061" s="11" t="str">
        <f>IFERROR(__xludf.DUMMYFUNCTION("""COMPUTED_VALUE"""),"Pbf Energy Inc  Cl A")</f>
        <v>Pbf Energy Inc  Cl A</v>
      </c>
      <c r="B2061" s="12" t="str">
        <f>IFERROR(__xludf.DUMMYFUNCTION("""COMPUTED_VALUE"""),"PBF-US")</f>
        <v>PBF-US</v>
      </c>
      <c r="C2061" s="12"/>
      <c r="D2061" s="13">
        <f>IFERROR(__xludf.DUMMYFUNCTION("""COMPUTED_VALUE"""),45470.0)</f>
        <v>45470</v>
      </c>
      <c r="E2061" s="13">
        <f>IFERROR(__xludf.DUMMYFUNCTION("""COMPUTED_VALUE"""),45776.0)</f>
        <v>45776</v>
      </c>
      <c r="F2061" s="13">
        <f>IFERROR(__xludf.DUMMYFUNCTION("""COMPUTED_VALUE"""),45776.0)</f>
        <v>45776</v>
      </c>
      <c r="G2061" s="12"/>
      <c r="H2061" s="12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</row>
    <row r="2062">
      <c r="A2062" s="11" t="str">
        <f>IFERROR(__xludf.DUMMYFUNCTION("""COMPUTED_VALUE"""),"Bok Financial Corp  Com")</f>
        <v>Bok Financial Corp  Com</v>
      </c>
      <c r="B2062" s="12" t="str">
        <f>IFERROR(__xludf.DUMMYFUNCTION("""COMPUTED_VALUE"""),"BOKF-US")</f>
        <v>BOKF-US</v>
      </c>
      <c r="C2062" s="12"/>
      <c r="D2062" s="13">
        <f>IFERROR(__xludf.DUMMYFUNCTION("""COMPUTED_VALUE"""),45471.0)</f>
        <v>45471</v>
      </c>
      <c r="E2062" s="13">
        <f>IFERROR(__xludf.DUMMYFUNCTION("""COMPUTED_VALUE"""),45776.0)</f>
        <v>45776</v>
      </c>
      <c r="F2062" s="13">
        <f>IFERROR(__xludf.DUMMYFUNCTION("""COMPUTED_VALUE"""),45776.0)</f>
        <v>45776</v>
      </c>
      <c r="G2062" s="12"/>
      <c r="H2062" s="12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</row>
    <row r="2063">
      <c r="A2063" s="11" t="str">
        <f>IFERROR(__xludf.DUMMYFUNCTION("""COMPUTED_VALUE"""),"Knowles Corp  Com")</f>
        <v>Knowles Corp  Com</v>
      </c>
      <c r="B2063" s="12" t="str">
        <f>IFERROR(__xludf.DUMMYFUNCTION("""COMPUTED_VALUE"""),"KN-US")</f>
        <v>KN-US</v>
      </c>
      <c r="C2063" s="12"/>
      <c r="D2063" s="13">
        <f>IFERROR(__xludf.DUMMYFUNCTION("""COMPUTED_VALUE"""),45471.0)</f>
        <v>45471</v>
      </c>
      <c r="E2063" s="13">
        <f>IFERROR(__xludf.DUMMYFUNCTION("""COMPUTED_VALUE"""),45776.0)</f>
        <v>45776</v>
      </c>
      <c r="F2063" s="13">
        <f>IFERROR(__xludf.DUMMYFUNCTION("""COMPUTED_VALUE"""),45776.0)</f>
        <v>45776</v>
      </c>
      <c r="G2063" s="12"/>
      <c r="H2063" s="12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</row>
    <row r="2064">
      <c r="A2064" s="11" t="str">
        <f>IFERROR(__xludf.DUMMYFUNCTION("""COMPUTED_VALUE"""),"Stepan Co  Com")</f>
        <v>Stepan Co  Com</v>
      </c>
      <c r="B2064" s="12" t="str">
        <f>IFERROR(__xludf.DUMMYFUNCTION("""COMPUTED_VALUE"""),"SCL-US")</f>
        <v>SCL-US</v>
      </c>
      <c r="C2064" s="12"/>
      <c r="D2064" s="13">
        <f>IFERROR(__xludf.DUMMYFUNCTION("""COMPUTED_VALUE"""),45471.0)</f>
        <v>45471</v>
      </c>
      <c r="E2064" s="13">
        <f>IFERROR(__xludf.DUMMYFUNCTION("""COMPUTED_VALUE"""),45776.0)</f>
        <v>45776</v>
      </c>
      <c r="F2064" s="13">
        <f>IFERROR(__xludf.DUMMYFUNCTION("""COMPUTED_VALUE"""),45776.0)</f>
        <v>45776</v>
      </c>
      <c r="G2064" s="12"/>
      <c r="H2064" s="12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</row>
    <row r="2065">
      <c r="A2065" s="11" t="str">
        <f>IFERROR(__xludf.DUMMYFUNCTION("""COMPUTED_VALUE"""),"Par Pacific Holdings Inc  Com")</f>
        <v>Par Pacific Holdings Inc  Com</v>
      </c>
      <c r="B2065" s="12" t="str">
        <f>IFERROR(__xludf.DUMMYFUNCTION("""COMPUTED_VALUE"""),"PARR-US")</f>
        <v>PARR-US</v>
      </c>
      <c r="C2065" s="12"/>
      <c r="D2065" s="13">
        <f>IFERROR(__xludf.DUMMYFUNCTION("""COMPUTED_VALUE"""),45471.0)</f>
        <v>45471</v>
      </c>
      <c r="E2065" s="13">
        <f>IFERROR(__xludf.DUMMYFUNCTION("""COMPUTED_VALUE"""),45778.0)</f>
        <v>45778</v>
      </c>
      <c r="F2065" s="13">
        <f>IFERROR(__xludf.DUMMYFUNCTION("""COMPUTED_VALUE"""),45778.0)</f>
        <v>45778</v>
      </c>
      <c r="G2065" s="12"/>
      <c r="H2065" s="12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</row>
    <row r="2066">
      <c r="A2066" s="11" t="str">
        <f>IFERROR(__xludf.DUMMYFUNCTION("""COMPUTED_VALUE"""),"Orrstown Financial Svcs Inc  Com")</f>
        <v>Orrstown Financial Svcs Inc  Com</v>
      </c>
      <c r="B2066" s="12" t="str">
        <f>IFERROR(__xludf.DUMMYFUNCTION("""COMPUTED_VALUE"""),"ORRF-US")</f>
        <v>ORRF-US</v>
      </c>
      <c r="C2066" s="12"/>
      <c r="D2066" s="13">
        <f>IFERROR(__xludf.DUMMYFUNCTION("""COMPUTED_VALUE"""),45475.0)</f>
        <v>45475</v>
      </c>
      <c r="E2066" s="13">
        <f>IFERROR(__xludf.DUMMYFUNCTION("""COMPUTED_VALUE"""),45783.0)</f>
        <v>45783</v>
      </c>
      <c r="F2066" s="13">
        <f>IFERROR(__xludf.DUMMYFUNCTION("""COMPUTED_VALUE"""),45783.0)</f>
        <v>45783</v>
      </c>
      <c r="G2066" s="12"/>
      <c r="H2066" s="12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</row>
    <row r="2067">
      <c r="A2067" s="11" t="str">
        <f>IFERROR(__xludf.DUMMYFUNCTION("""COMPUTED_VALUE"""),"Shenandoah Telecommunications  Com")</f>
        <v>Shenandoah Telecommunications  Com</v>
      </c>
      <c r="B2067" s="12" t="str">
        <f>IFERROR(__xludf.DUMMYFUNCTION("""COMPUTED_VALUE"""),"SHEN-US")</f>
        <v>SHEN-US</v>
      </c>
      <c r="C2067" s="12"/>
      <c r="D2067" s="13">
        <f>IFERROR(__xludf.DUMMYFUNCTION("""COMPUTED_VALUE"""),45475.0)</f>
        <v>45475</v>
      </c>
      <c r="E2067" s="13">
        <f>IFERROR(__xludf.DUMMYFUNCTION("""COMPUTED_VALUE"""),45769.0)</f>
        <v>45769</v>
      </c>
      <c r="F2067" s="13">
        <f>IFERROR(__xludf.DUMMYFUNCTION("""COMPUTED_VALUE"""),45769.0)</f>
        <v>45769</v>
      </c>
      <c r="G2067" s="12"/>
      <c r="H2067" s="12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</row>
    <row r="2068">
      <c r="A2068" s="11" t="str">
        <f>IFERROR(__xludf.DUMMYFUNCTION("""COMPUTED_VALUE"""),"Peapack Gladstone Financial  Com")</f>
        <v>Peapack Gladstone Financial  Com</v>
      </c>
      <c r="B2068" s="12" t="str">
        <f>IFERROR(__xludf.DUMMYFUNCTION("""COMPUTED_VALUE"""),"PGC-US")</f>
        <v>PGC-US</v>
      </c>
      <c r="C2068" s="12"/>
      <c r="D2068" s="13">
        <f>IFERROR(__xludf.DUMMYFUNCTION("""COMPUTED_VALUE"""),45478.0)</f>
        <v>45478</v>
      </c>
      <c r="E2068" s="13">
        <f>IFERROR(__xludf.DUMMYFUNCTION("""COMPUTED_VALUE"""),45776.0)</f>
        <v>45776</v>
      </c>
      <c r="F2068" s="13">
        <f>IFERROR(__xludf.DUMMYFUNCTION("""COMPUTED_VALUE"""),45776.0)</f>
        <v>45776</v>
      </c>
      <c r="G2068" s="12"/>
      <c r="H2068" s="12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</row>
    <row r="2069">
      <c r="A2069" s="11" t="str">
        <f>IFERROR(__xludf.DUMMYFUNCTION("""COMPUTED_VALUE"""),"Tiptree Inc  Com")</f>
        <v>Tiptree Inc  Com</v>
      </c>
      <c r="B2069" s="12" t="str">
        <f>IFERROR(__xludf.DUMMYFUNCTION("""COMPUTED_VALUE"""),"TIPT-US")</f>
        <v>TIPT-US</v>
      </c>
      <c r="C2069" s="12"/>
      <c r="D2069" s="13">
        <f>IFERROR(__xludf.DUMMYFUNCTION("""COMPUTED_VALUE"""),45482.0)</f>
        <v>45482</v>
      </c>
      <c r="E2069" s="13">
        <f>IFERROR(__xludf.DUMMYFUNCTION("""COMPUTED_VALUE"""),45776.0)</f>
        <v>45776</v>
      </c>
      <c r="F2069" s="13">
        <f>IFERROR(__xludf.DUMMYFUNCTION("""COMPUTED_VALUE"""),45776.0)</f>
        <v>45776</v>
      </c>
      <c r="G2069" s="12"/>
      <c r="H2069" s="12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</row>
    <row r="2070">
      <c r="A2070" s="11" t="str">
        <f>IFERROR(__xludf.DUMMYFUNCTION("""COMPUTED_VALUE"""),"Brc Inc  Cl A")</f>
        <v>Brc Inc  Cl A</v>
      </c>
      <c r="B2070" s="12" t="str">
        <f>IFERROR(__xludf.DUMMYFUNCTION("""COMPUTED_VALUE"""),"BRCC-US")</f>
        <v>BRCC-US</v>
      </c>
      <c r="C2070" s="12"/>
      <c r="D2070" s="13">
        <f>IFERROR(__xludf.DUMMYFUNCTION("""COMPUTED_VALUE"""),45482.0)</f>
        <v>45482</v>
      </c>
      <c r="E2070" s="13">
        <f>IFERROR(__xludf.DUMMYFUNCTION("""COMPUTED_VALUE"""),45805.0)</f>
        <v>45805</v>
      </c>
      <c r="F2070" s="13">
        <f>IFERROR(__xludf.DUMMYFUNCTION("""COMPUTED_VALUE"""),45805.0)</f>
        <v>45805</v>
      </c>
      <c r="G2070" s="12"/>
      <c r="H2070" s="12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</row>
    <row r="2071">
      <c r="A2071" s="11" t="str">
        <f>IFERROR(__xludf.DUMMYFUNCTION("""COMPUTED_VALUE"""),"Genuine Parts Co  Com")</f>
        <v>Genuine Parts Co  Com</v>
      </c>
      <c r="B2071" s="12" t="str">
        <f>IFERROR(__xludf.DUMMYFUNCTION("""COMPUTED_VALUE"""),"GPC-US")</f>
        <v>GPC-US</v>
      </c>
      <c r="C2071" s="12"/>
      <c r="D2071" s="13">
        <f>IFERROR(__xludf.DUMMYFUNCTION("""COMPUTED_VALUE"""),45482.0)</f>
        <v>45482</v>
      </c>
      <c r="E2071" s="13">
        <f>IFERROR(__xludf.DUMMYFUNCTION("""COMPUTED_VALUE"""),45775.0)</f>
        <v>45775</v>
      </c>
      <c r="F2071" s="13">
        <f>IFERROR(__xludf.DUMMYFUNCTION("""COMPUTED_VALUE"""),45775.0)</f>
        <v>45775</v>
      </c>
      <c r="G2071" s="12"/>
      <c r="H2071" s="12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</row>
    <row r="2072">
      <c r="A2072" s="11" t="str">
        <f>IFERROR(__xludf.DUMMYFUNCTION("""COMPUTED_VALUE"""),"Paycom Software Inc  Com")</f>
        <v>Paycom Software Inc  Com</v>
      </c>
      <c r="B2072" s="12" t="str">
        <f>IFERROR(__xludf.DUMMYFUNCTION("""COMPUTED_VALUE"""),"PAYC-US")</f>
        <v>PAYC-US</v>
      </c>
      <c r="C2072" s="12"/>
      <c r="D2072" s="13">
        <f>IFERROR(__xludf.DUMMYFUNCTION("""COMPUTED_VALUE"""),45483.0)</f>
        <v>45483</v>
      </c>
      <c r="E2072" s="13">
        <f>IFERROR(__xludf.DUMMYFUNCTION("""COMPUTED_VALUE"""),45782.0)</f>
        <v>45782</v>
      </c>
      <c r="F2072" s="13">
        <f>IFERROR(__xludf.DUMMYFUNCTION("""COMPUTED_VALUE"""),45782.0)</f>
        <v>45782</v>
      </c>
      <c r="G2072" s="12"/>
      <c r="H2072" s="12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</row>
    <row r="2073">
      <c r="A2073" s="11" t="str">
        <f>IFERROR(__xludf.DUMMYFUNCTION("""COMPUTED_VALUE"""),"Topbuild Corp  Com")</f>
        <v>Topbuild Corp  Com</v>
      </c>
      <c r="B2073" s="12" t="str">
        <f>IFERROR(__xludf.DUMMYFUNCTION("""COMPUTED_VALUE"""),"BLD-US")</f>
        <v>BLD-US</v>
      </c>
      <c r="C2073" s="12"/>
      <c r="D2073" s="13">
        <f>IFERROR(__xludf.DUMMYFUNCTION("""COMPUTED_VALUE"""),45483.0)</f>
        <v>45483</v>
      </c>
      <c r="E2073" s="13">
        <f>IFERROR(__xludf.DUMMYFUNCTION("""COMPUTED_VALUE"""),45775.0)</f>
        <v>45775</v>
      </c>
      <c r="F2073" s="13">
        <f>IFERROR(__xludf.DUMMYFUNCTION("""COMPUTED_VALUE"""),45775.0)</f>
        <v>45775</v>
      </c>
      <c r="G2073" s="12"/>
      <c r="H2073" s="12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</row>
    <row r="2074">
      <c r="A2074" s="11" t="str">
        <f>IFERROR(__xludf.DUMMYFUNCTION("""COMPUTED_VALUE"""),"Stag Industrial Inc  Com")</f>
        <v>Stag Industrial Inc  Com</v>
      </c>
      <c r="B2074" s="12" t="str">
        <f>IFERROR(__xludf.DUMMYFUNCTION("""COMPUTED_VALUE"""),"STAG-US")</f>
        <v>STAG-US</v>
      </c>
      <c r="C2074" s="12"/>
      <c r="D2074" s="13">
        <f>IFERROR(__xludf.DUMMYFUNCTION("""COMPUTED_VALUE"""),45484.0)</f>
        <v>45484</v>
      </c>
      <c r="E2074" s="13">
        <f>IFERROR(__xludf.DUMMYFUNCTION("""COMPUTED_VALUE"""),45775.0)</f>
        <v>45775</v>
      </c>
      <c r="F2074" s="13">
        <f>IFERROR(__xludf.DUMMYFUNCTION("""COMPUTED_VALUE"""),45775.0)</f>
        <v>45775</v>
      </c>
      <c r="G2074" s="12"/>
      <c r="H2074" s="12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</row>
    <row r="2075">
      <c r="A2075" s="11" t="str">
        <f>IFERROR(__xludf.DUMMYFUNCTION("""COMPUTED_VALUE"""),"Schneider National Inc  Cl B")</f>
        <v>Schneider National Inc  Cl B</v>
      </c>
      <c r="B2075" s="12" t="str">
        <f>IFERROR(__xludf.DUMMYFUNCTION("""COMPUTED_VALUE"""),"SNDR-US")</f>
        <v>SNDR-US</v>
      </c>
      <c r="C2075" s="12"/>
      <c r="D2075" s="13">
        <f>IFERROR(__xludf.DUMMYFUNCTION("""COMPUTED_VALUE"""),45488.0)</f>
        <v>45488</v>
      </c>
      <c r="E2075" s="13">
        <f>IFERROR(__xludf.DUMMYFUNCTION("""COMPUTED_VALUE"""),45776.0)</f>
        <v>45776</v>
      </c>
      <c r="F2075" s="13">
        <f>IFERROR(__xludf.DUMMYFUNCTION("""COMPUTED_VALUE"""),45776.0)</f>
        <v>45776</v>
      </c>
      <c r="G2075" s="12"/>
      <c r="H2075" s="12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</row>
    <row r="2076">
      <c r="A2076" s="11" t="str">
        <f>IFERROR(__xludf.DUMMYFUNCTION("""COMPUTED_VALUE"""),"Sfl Corp Ltd  Com")</f>
        <v>Sfl Corp Ltd  Com</v>
      </c>
      <c r="B2076" s="12" t="str">
        <f>IFERROR(__xludf.DUMMYFUNCTION("""COMPUTED_VALUE"""),"SFL-US")</f>
        <v>SFL-US</v>
      </c>
      <c r="C2076" s="12"/>
      <c r="D2076" s="13">
        <f>IFERROR(__xludf.DUMMYFUNCTION("""COMPUTED_VALUE"""),45489.0)</f>
        <v>45489</v>
      </c>
      <c r="E2076" s="13">
        <f>IFERROR(__xludf.DUMMYFUNCTION("""COMPUTED_VALUE"""),45785.0)</f>
        <v>45785</v>
      </c>
      <c r="F2076" s="13">
        <f>IFERROR(__xludf.DUMMYFUNCTION("""COMPUTED_VALUE"""),45785.0)</f>
        <v>45785</v>
      </c>
      <c r="G2076" s="12"/>
      <c r="H2076" s="12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</row>
    <row r="2077">
      <c r="A2077" s="11" t="str">
        <f>IFERROR(__xludf.DUMMYFUNCTION("""COMPUTED_VALUE"""),"Golden Ocean Group Ltd  Com")</f>
        <v>Golden Ocean Group Ltd  Com</v>
      </c>
      <c r="B2077" s="12" t="str">
        <f>IFERROR(__xludf.DUMMYFUNCTION("""COMPUTED_VALUE"""),"GOGL-US")</f>
        <v>GOGL-US</v>
      </c>
      <c r="C2077" s="12"/>
      <c r="D2077" s="13">
        <f>IFERROR(__xludf.DUMMYFUNCTION("""COMPUTED_VALUE"""),45489.0)</f>
        <v>45489</v>
      </c>
      <c r="E2077" s="13">
        <f>IFERROR(__xludf.DUMMYFUNCTION("""COMPUTED_VALUE"""),45785.0)</f>
        <v>45785</v>
      </c>
      <c r="F2077" s="13">
        <f>IFERROR(__xludf.DUMMYFUNCTION("""COMPUTED_VALUE"""),45785.0)</f>
        <v>45785</v>
      </c>
      <c r="G2077" s="12"/>
      <c r="H2077" s="12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</row>
    <row r="2078">
      <c r="A2078" s="11" t="str">
        <f>IFERROR(__xludf.DUMMYFUNCTION("""COMPUTED_VALUE"""),"German American Bancorp Inc  Com")</f>
        <v>German American Bancorp Inc  Com</v>
      </c>
      <c r="B2078" s="12" t="str">
        <f>IFERROR(__xludf.DUMMYFUNCTION("""COMPUTED_VALUE"""),"GABC-US")</f>
        <v>GABC-US</v>
      </c>
      <c r="C2078" s="12"/>
      <c r="D2078" s="13">
        <f>IFERROR(__xludf.DUMMYFUNCTION("""COMPUTED_VALUE"""),45489.0)</f>
        <v>45489</v>
      </c>
      <c r="E2078" s="13">
        <f>IFERROR(__xludf.DUMMYFUNCTION("""COMPUTED_VALUE"""),45805.0)</f>
        <v>45805</v>
      </c>
      <c r="F2078" s="13">
        <f>IFERROR(__xludf.DUMMYFUNCTION("""COMPUTED_VALUE"""),45805.0)</f>
        <v>45805</v>
      </c>
      <c r="G2078" s="12"/>
      <c r="H2078" s="12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</row>
    <row r="2079">
      <c r="A2079" s="11" t="str">
        <f>IFERROR(__xludf.DUMMYFUNCTION("""COMPUTED_VALUE"""),"Flex Lng Ltd  Ord")</f>
        <v>Flex Lng Ltd  Ord</v>
      </c>
      <c r="B2079" s="12" t="str">
        <f>IFERROR(__xludf.DUMMYFUNCTION("""COMPUTED_VALUE"""),"FLNG-US")</f>
        <v>FLNG-US</v>
      </c>
      <c r="C2079" s="12"/>
      <c r="D2079" s="13">
        <f>IFERROR(__xludf.DUMMYFUNCTION("""COMPUTED_VALUE"""),45489.0)</f>
        <v>45489</v>
      </c>
      <c r="E2079" s="13">
        <f>IFERROR(__xludf.DUMMYFUNCTION("""COMPUTED_VALUE"""),45785.0)</f>
        <v>45785</v>
      </c>
      <c r="F2079" s="13">
        <f>IFERROR(__xludf.DUMMYFUNCTION("""COMPUTED_VALUE"""),45785.0)</f>
        <v>45785</v>
      </c>
      <c r="G2079" s="12"/>
      <c r="H2079" s="12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</row>
    <row r="2080">
      <c r="A2080" s="11" t="str">
        <f>IFERROR(__xludf.DUMMYFUNCTION("""COMPUTED_VALUE"""),"Farmland Partners Inc  Com")</f>
        <v>Farmland Partners Inc  Com</v>
      </c>
      <c r="B2080" s="12" t="str">
        <f>IFERROR(__xludf.DUMMYFUNCTION("""COMPUTED_VALUE"""),"FPI-US")</f>
        <v>FPI-US</v>
      </c>
      <c r="C2080" s="12"/>
      <c r="D2080" s="13">
        <f>IFERROR(__xludf.DUMMYFUNCTION("""COMPUTED_VALUE"""),45490.0)</f>
        <v>45490</v>
      </c>
      <c r="E2080" s="13">
        <f>IFERROR(__xludf.DUMMYFUNCTION("""COMPUTED_VALUE"""),45783.0)</f>
        <v>45783</v>
      </c>
      <c r="F2080" s="13">
        <f>IFERROR(__xludf.DUMMYFUNCTION("""COMPUTED_VALUE"""),45783.0)</f>
        <v>45783</v>
      </c>
      <c r="G2080" s="12"/>
      <c r="H2080" s="12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</row>
    <row r="2081">
      <c r="A2081" s="11" t="str">
        <f>IFERROR(__xludf.DUMMYFUNCTION("""COMPUTED_VALUE"""),"Farmers &amp; Merchants Bancorp Inc  Com")</f>
        <v>Farmers &amp; Merchants Bancorp Inc  Com</v>
      </c>
      <c r="B2081" s="12" t="str">
        <f>IFERROR(__xludf.DUMMYFUNCTION("""COMPUTED_VALUE"""),"FMAO-US")</f>
        <v>FMAO-US</v>
      </c>
      <c r="C2081" s="12"/>
      <c r="D2081" s="13">
        <f>IFERROR(__xludf.DUMMYFUNCTION("""COMPUTED_VALUE"""),45490.0)</f>
        <v>45490</v>
      </c>
      <c r="E2081" s="13">
        <f>IFERROR(__xludf.DUMMYFUNCTION("""COMPUTED_VALUE"""),45761.0)</f>
        <v>45761</v>
      </c>
      <c r="F2081" s="13">
        <f>IFERROR(__xludf.DUMMYFUNCTION("""COMPUTED_VALUE"""),45761.0)</f>
        <v>45761</v>
      </c>
      <c r="G2081" s="12"/>
      <c r="H2081" s="12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</row>
    <row r="2082">
      <c r="A2082" s="11" t="str">
        <f>IFERROR(__xludf.DUMMYFUNCTION("""COMPUTED_VALUE"""),"Abbott Laboratories  Com")</f>
        <v>Abbott Laboratories  Com</v>
      </c>
      <c r="B2082" s="12" t="str">
        <f>IFERROR(__xludf.DUMMYFUNCTION("""COMPUTED_VALUE"""),"ABT-US")</f>
        <v>ABT-US</v>
      </c>
      <c r="C2082" s="12"/>
      <c r="D2082" s="13">
        <f>IFERROR(__xludf.DUMMYFUNCTION("""COMPUTED_VALUE"""),45491.0)</f>
        <v>45491</v>
      </c>
      <c r="E2082" s="13">
        <f>IFERROR(__xludf.DUMMYFUNCTION("""COMPUTED_VALUE"""),45772.0)</f>
        <v>45772</v>
      </c>
      <c r="F2082" s="13">
        <f>IFERROR(__xludf.DUMMYFUNCTION("""COMPUTED_VALUE"""),45772.0)</f>
        <v>45772</v>
      </c>
      <c r="G2082" s="12"/>
      <c r="H2082" s="12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</row>
    <row r="2083">
      <c r="A2083" s="11" t="str">
        <f>IFERROR(__xludf.DUMMYFUNCTION("""COMPUTED_VALUE"""),"Corteva Inc  Com")</f>
        <v>Corteva Inc  Com</v>
      </c>
      <c r="B2083" s="12" t="str">
        <f>IFERROR(__xludf.DUMMYFUNCTION("""COMPUTED_VALUE"""),"CTVA-US")</f>
        <v>CTVA-US</v>
      </c>
      <c r="C2083" s="12"/>
      <c r="D2083" s="13">
        <f>IFERROR(__xludf.DUMMYFUNCTION("""COMPUTED_VALUE"""),45491.0)</f>
        <v>45491</v>
      </c>
      <c r="E2083" s="13">
        <f>IFERROR(__xludf.DUMMYFUNCTION("""COMPUTED_VALUE"""),45777.0)</f>
        <v>45777</v>
      </c>
      <c r="F2083" s="13">
        <f>IFERROR(__xludf.DUMMYFUNCTION("""COMPUTED_VALUE"""),45777.0)</f>
        <v>45777</v>
      </c>
      <c r="G2083" s="12"/>
      <c r="H2083" s="12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</row>
    <row r="2084">
      <c r="A2084" s="11" t="str">
        <f>IFERROR(__xludf.DUMMYFUNCTION("""COMPUTED_VALUE"""),"Leidos Holdings Inc  Com")</f>
        <v>Leidos Holdings Inc  Com</v>
      </c>
      <c r="B2084" s="12" t="str">
        <f>IFERROR(__xludf.DUMMYFUNCTION("""COMPUTED_VALUE"""),"LDOS-US")</f>
        <v>LDOS-US</v>
      </c>
      <c r="C2084" s="12"/>
      <c r="D2084" s="13">
        <f>IFERROR(__xludf.DUMMYFUNCTION("""COMPUTED_VALUE"""),45126.0)</f>
        <v>45126</v>
      </c>
      <c r="E2084" s="13">
        <f>IFERROR(__xludf.DUMMYFUNCTION("""COMPUTED_VALUE"""),45779.0)</f>
        <v>45779</v>
      </c>
      <c r="F2084" s="13">
        <f>IFERROR(__xludf.DUMMYFUNCTION("""COMPUTED_VALUE"""),45779.0)</f>
        <v>45779</v>
      </c>
      <c r="G2084" s="12"/>
      <c r="H2084" s="12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</row>
    <row r="2085">
      <c r="A2085" s="11" t="str">
        <f>IFERROR(__xludf.DUMMYFUNCTION("""COMPUTED_VALUE"""),"Centerpoint Energy Inc  Com")</f>
        <v>Centerpoint Energy Inc  Com</v>
      </c>
      <c r="B2085" s="12" t="str">
        <f>IFERROR(__xludf.DUMMYFUNCTION("""COMPUTED_VALUE"""),"CNP-US")</f>
        <v>CNP-US</v>
      </c>
      <c r="C2085" s="12"/>
      <c r="D2085" s="13">
        <f>IFERROR(__xludf.DUMMYFUNCTION("""COMPUTED_VALUE"""),45492.0)</f>
        <v>45492</v>
      </c>
      <c r="E2085" s="13">
        <f>IFERROR(__xludf.DUMMYFUNCTION("""COMPUTED_VALUE"""),45763.0)</f>
        <v>45763</v>
      </c>
      <c r="F2085" s="13">
        <f>IFERROR(__xludf.DUMMYFUNCTION("""COMPUTED_VALUE"""),45763.0)</f>
        <v>45763</v>
      </c>
      <c r="G2085" s="12"/>
      <c r="H2085" s="12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</row>
    <row r="2086">
      <c r="A2086" s="11" t="str">
        <f>IFERROR(__xludf.DUMMYFUNCTION("""COMPUTED_VALUE"""),"Technipfmc Plc  Com")</f>
        <v>Technipfmc Plc  Com</v>
      </c>
      <c r="B2086" s="12" t="str">
        <f>IFERROR(__xludf.DUMMYFUNCTION("""COMPUTED_VALUE"""),"FTI-US")</f>
        <v>FTI-US</v>
      </c>
      <c r="C2086" s="12"/>
      <c r="D2086" s="13">
        <f>IFERROR(__xludf.DUMMYFUNCTION("""COMPUTED_VALUE"""),45492.0)</f>
        <v>45492</v>
      </c>
      <c r="E2086" s="13">
        <f>IFERROR(__xludf.DUMMYFUNCTION("""COMPUTED_VALUE"""),45772.0)</f>
        <v>45772</v>
      </c>
      <c r="F2086" s="13">
        <f>IFERROR(__xludf.DUMMYFUNCTION("""COMPUTED_VALUE"""),45772.0)</f>
        <v>45772</v>
      </c>
      <c r="G2086" s="12"/>
      <c r="H2086" s="12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</row>
    <row r="2087">
      <c r="A2087" s="11" t="str">
        <f>IFERROR(__xludf.DUMMYFUNCTION("""COMPUTED_VALUE"""),"Graco Inc  Com")</f>
        <v>Graco Inc  Com</v>
      </c>
      <c r="B2087" s="12" t="str">
        <f>IFERROR(__xludf.DUMMYFUNCTION("""COMPUTED_VALUE"""),"GGG-US")</f>
        <v>GGG-US</v>
      </c>
      <c r="C2087" s="12"/>
      <c r="D2087" s="13">
        <f>IFERROR(__xludf.DUMMYFUNCTION("""COMPUTED_VALUE"""),45495.0)</f>
        <v>45495</v>
      </c>
      <c r="E2087" s="13">
        <f>IFERROR(__xludf.DUMMYFUNCTION("""COMPUTED_VALUE"""),45772.0)</f>
        <v>45772</v>
      </c>
      <c r="F2087" s="13">
        <f>IFERROR(__xludf.DUMMYFUNCTION("""COMPUTED_VALUE"""),45772.0)</f>
        <v>45772</v>
      </c>
      <c r="G2087" s="12"/>
      <c r="H2087" s="12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</row>
    <row r="2088">
      <c r="A2088" s="11" t="str">
        <f>IFERROR(__xludf.DUMMYFUNCTION("""COMPUTED_VALUE"""),"Dayforce Inc  Com")</f>
        <v>Dayforce Inc  Com</v>
      </c>
      <c r="B2088" s="12" t="str">
        <f>IFERROR(__xludf.DUMMYFUNCTION("""COMPUTED_VALUE"""),"DAY-US")</f>
        <v>DAY-US</v>
      </c>
      <c r="C2088" s="12"/>
      <c r="D2088" s="13">
        <f>IFERROR(__xludf.DUMMYFUNCTION("""COMPUTED_VALUE"""),45495.0)</f>
        <v>45495</v>
      </c>
      <c r="E2088" s="13">
        <f>IFERROR(__xludf.DUMMYFUNCTION("""COMPUTED_VALUE"""),45779.0)</f>
        <v>45779</v>
      </c>
      <c r="F2088" s="13">
        <f>IFERROR(__xludf.DUMMYFUNCTION("""COMPUTED_VALUE"""),45779.0)</f>
        <v>45779</v>
      </c>
      <c r="G2088" s="12"/>
      <c r="H2088" s="12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</row>
    <row r="2089">
      <c r="A2089" s="11" t="str">
        <f>IFERROR(__xludf.DUMMYFUNCTION("""COMPUTED_VALUE"""),"Badger Meter Inc  Com")</f>
        <v>Badger Meter Inc  Com</v>
      </c>
      <c r="B2089" s="12" t="str">
        <f>IFERROR(__xludf.DUMMYFUNCTION("""COMPUTED_VALUE"""),"BMI-US")</f>
        <v>BMI-US</v>
      </c>
      <c r="C2089" s="12"/>
      <c r="D2089" s="13">
        <f>IFERROR(__xludf.DUMMYFUNCTION("""COMPUTED_VALUE"""),45496.0)</f>
        <v>45496</v>
      </c>
      <c r="E2089" s="13">
        <f>IFERROR(__xludf.DUMMYFUNCTION("""COMPUTED_VALUE"""),45772.0)</f>
        <v>45772</v>
      </c>
      <c r="F2089" s="13">
        <f>IFERROR(__xludf.DUMMYFUNCTION("""COMPUTED_VALUE"""),45772.0)</f>
        <v>45772</v>
      </c>
      <c r="G2089" s="12"/>
      <c r="H2089" s="12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</row>
    <row r="2090">
      <c r="A2090" s="11" t="str">
        <f>IFERROR(__xludf.DUMMYFUNCTION("""COMPUTED_VALUE"""),"Gatx Corp  Com")</f>
        <v>Gatx Corp  Com</v>
      </c>
      <c r="B2090" s="12" t="str">
        <f>IFERROR(__xludf.DUMMYFUNCTION("""COMPUTED_VALUE"""),"GATX-US")</f>
        <v>GATX-US</v>
      </c>
      <c r="C2090" s="12"/>
      <c r="D2090" s="13">
        <f>IFERROR(__xludf.DUMMYFUNCTION("""COMPUTED_VALUE"""),45496.0)</f>
        <v>45496</v>
      </c>
      <c r="E2090" s="13">
        <f>IFERROR(__xludf.DUMMYFUNCTION("""COMPUTED_VALUE"""),45772.0)</f>
        <v>45772</v>
      </c>
      <c r="F2090" s="13">
        <f>IFERROR(__xludf.DUMMYFUNCTION("""COMPUTED_VALUE"""),45772.0)</f>
        <v>45772</v>
      </c>
      <c r="G2090" s="12"/>
      <c r="H2090" s="12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</row>
    <row r="2091">
      <c r="A2091" s="11" t="str">
        <f>IFERROR(__xludf.DUMMYFUNCTION("""COMPUTED_VALUE"""),"Bank Of Hawaii Corp  Com")</f>
        <v>Bank Of Hawaii Corp  Com</v>
      </c>
      <c r="B2091" s="12" t="str">
        <f>IFERROR(__xludf.DUMMYFUNCTION("""COMPUTED_VALUE"""),"BOH-US")</f>
        <v>BOH-US</v>
      </c>
      <c r="C2091" s="12"/>
      <c r="D2091" s="13">
        <f>IFERROR(__xludf.DUMMYFUNCTION("""COMPUTED_VALUE"""),45497.0)</f>
        <v>45497</v>
      </c>
      <c r="E2091" s="13">
        <f>IFERROR(__xludf.DUMMYFUNCTION("""COMPUTED_VALUE"""),45772.0)</f>
        <v>45772</v>
      </c>
      <c r="F2091" s="13">
        <f>IFERROR(__xludf.DUMMYFUNCTION("""COMPUTED_VALUE"""),45772.0)</f>
        <v>45772</v>
      </c>
      <c r="G2091" s="12"/>
      <c r="H2091" s="12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</row>
    <row r="2092">
      <c r="A2092" s="11" t="str">
        <f>IFERROR(__xludf.DUMMYFUNCTION("""COMPUTED_VALUE"""),"Arcbest Corp  Com")</f>
        <v>Arcbest Corp  Com</v>
      </c>
      <c r="B2092" s="12" t="str">
        <f>IFERROR(__xludf.DUMMYFUNCTION("""COMPUTED_VALUE"""),"ARCB-US")</f>
        <v>ARCB-US</v>
      </c>
      <c r="C2092" s="12"/>
      <c r="D2092" s="13">
        <f>IFERROR(__xludf.DUMMYFUNCTION("""COMPUTED_VALUE"""),45498.0)</f>
        <v>45498</v>
      </c>
      <c r="E2092" s="13">
        <f>IFERROR(__xludf.DUMMYFUNCTION("""COMPUTED_VALUE"""),45772.0)</f>
        <v>45772</v>
      </c>
      <c r="F2092" s="13">
        <f>IFERROR(__xludf.DUMMYFUNCTION("""COMPUTED_VALUE"""),45772.0)</f>
        <v>45772</v>
      </c>
      <c r="G2092" s="12"/>
      <c r="H2092" s="12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</row>
    <row r="2093">
      <c r="A2093" s="11" t="str">
        <f>IFERROR(__xludf.DUMMYFUNCTION("""COMPUTED_VALUE"""),"Digitalbridge Group Inc  Cl A")</f>
        <v>Digitalbridge Group Inc  Cl A</v>
      </c>
      <c r="B2093" s="12" t="str">
        <f>IFERROR(__xludf.DUMMYFUNCTION("""COMPUTED_VALUE"""),"DBRG-US")</f>
        <v>DBRG-US</v>
      </c>
      <c r="C2093" s="12"/>
      <c r="D2093" s="13">
        <f>IFERROR(__xludf.DUMMYFUNCTION("""COMPUTED_VALUE"""),45498.0)</f>
        <v>45498</v>
      </c>
      <c r="E2093" s="13">
        <f>IFERROR(__xludf.DUMMYFUNCTION("""COMPUTED_VALUE"""),45800.0)</f>
        <v>45800</v>
      </c>
      <c r="F2093" s="13">
        <f>IFERROR(__xludf.DUMMYFUNCTION("""COMPUTED_VALUE"""),45800.0)</f>
        <v>45800</v>
      </c>
      <c r="G2093" s="12"/>
      <c r="H2093" s="12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</row>
    <row r="2094">
      <c r="A2094" s="11" t="str">
        <f>IFERROR(__xludf.DUMMYFUNCTION("""COMPUTED_VALUE"""),"Rlj Lodging Trust  Com")</f>
        <v>Rlj Lodging Trust  Com</v>
      </c>
      <c r="B2094" s="12" t="str">
        <f>IFERROR(__xludf.DUMMYFUNCTION("""COMPUTED_VALUE"""),"RLJ-US")</f>
        <v>RLJ-US</v>
      </c>
      <c r="C2094" s="12"/>
      <c r="D2094" s="13">
        <f>IFERROR(__xludf.DUMMYFUNCTION("""COMPUTED_VALUE"""),45498.0)</f>
        <v>45498</v>
      </c>
      <c r="E2094" s="13">
        <f>IFERROR(__xludf.DUMMYFUNCTION("""COMPUTED_VALUE"""),45772.0)</f>
        <v>45772</v>
      </c>
      <c r="F2094" s="13">
        <f>IFERROR(__xludf.DUMMYFUNCTION("""COMPUTED_VALUE"""),45772.0)</f>
        <v>45772</v>
      </c>
      <c r="G2094" s="12"/>
      <c r="H2094" s="12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</row>
    <row r="2095">
      <c r="A2095" s="11" t="str">
        <f>IFERROR(__xludf.DUMMYFUNCTION("""COMPUTED_VALUE"""),"Life Time Group Holdings Inc  Com")</f>
        <v>Life Time Group Holdings Inc  Com</v>
      </c>
      <c r="B2095" s="12" t="str">
        <f>IFERROR(__xludf.DUMMYFUNCTION("""COMPUTED_VALUE"""),"LTH-US")</f>
        <v>LTH-US</v>
      </c>
      <c r="C2095" s="12"/>
      <c r="D2095" s="13">
        <f>IFERROR(__xludf.DUMMYFUNCTION("""COMPUTED_VALUE"""),45498.0)</f>
        <v>45498</v>
      </c>
      <c r="E2095" s="13">
        <f>IFERROR(__xludf.DUMMYFUNCTION("""COMPUTED_VALUE"""),45772.0)</f>
        <v>45772</v>
      </c>
      <c r="F2095" s="13">
        <f>IFERROR(__xludf.DUMMYFUNCTION("""COMPUTED_VALUE"""),45772.0)</f>
        <v>45772</v>
      </c>
      <c r="G2095" s="12"/>
      <c r="H2095" s="12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</row>
    <row r="2096">
      <c r="A2096" s="11" t="str">
        <f>IFERROR(__xludf.DUMMYFUNCTION("""COMPUTED_VALUE"""),"First Business Financial Svcs  Com")</f>
        <v>First Business Financial Svcs  Com</v>
      </c>
      <c r="B2096" s="12" t="str">
        <f>IFERROR(__xludf.DUMMYFUNCTION("""COMPUTED_VALUE"""),"FBIZ-US")</f>
        <v>FBIZ-US</v>
      </c>
      <c r="C2096" s="12"/>
      <c r="D2096" s="13">
        <f>IFERROR(__xludf.DUMMYFUNCTION("""COMPUTED_VALUE"""),45498.0)</f>
        <v>45498</v>
      </c>
      <c r="E2096" s="13">
        <f>IFERROR(__xludf.DUMMYFUNCTION("""COMPUTED_VALUE"""),45772.0)</f>
        <v>45772</v>
      </c>
      <c r="F2096" s="13">
        <f>IFERROR(__xludf.DUMMYFUNCTION("""COMPUTED_VALUE"""),45772.0)</f>
        <v>45772</v>
      </c>
      <c r="G2096" s="12"/>
      <c r="H2096" s="12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</row>
    <row r="2097">
      <c r="A2097" s="11" t="str">
        <f>IFERROR(__xludf.DUMMYFUNCTION("""COMPUTED_VALUE"""),"Johnson &amp; Johnson  Com")</f>
        <v>Johnson &amp; Johnson  Com</v>
      </c>
      <c r="B2097" s="12" t="str">
        <f>IFERROR(__xludf.DUMMYFUNCTION("""COMPUTED_VALUE"""),"JNJ-US")</f>
        <v>JNJ-US</v>
      </c>
      <c r="C2097" s="12"/>
      <c r="D2097" s="13">
        <f>IFERROR(__xludf.DUMMYFUNCTION("""COMPUTED_VALUE"""),45498.0)</f>
        <v>45498</v>
      </c>
      <c r="E2097" s="13">
        <f>IFERROR(__xludf.DUMMYFUNCTION("""COMPUTED_VALUE"""),45771.0)</f>
        <v>45771</v>
      </c>
      <c r="F2097" s="13">
        <f>IFERROR(__xludf.DUMMYFUNCTION("""COMPUTED_VALUE"""),45771.0)</f>
        <v>45771</v>
      </c>
      <c r="G2097" s="12"/>
      <c r="H2097" s="12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</row>
    <row r="2098">
      <c r="A2098" s="11" t="str">
        <f>IFERROR(__xludf.DUMMYFUNCTION("""COMPUTED_VALUE"""),"Intuitive Surgical Inc  Com")</f>
        <v>Intuitive Surgical Inc  Com</v>
      </c>
      <c r="B2098" s="12" t="str">
        <f>IFERROR(__xludf.DUMMYFUNCTION("""COMPUTED_VALUE"""),"ISRG-US")</f>
        <v>ISRG-US</v>
      </c>
      <c r="C2098" s="12"/>
      <c r="D2098" s="13">
        <f>IFERROR(__xludf.DUMMYFUNCTION("""COMPUTED_VALUE"""),45498.0)</f>
        <v>45498</v>
      </c>
      <c r="E2098" s="13">
        <f>IFERROR(__xludf.DUMMYFUNCTION("""COMPUTED_VALUE"""),45778.0)</f>
        <v>45778</v>
      </c>
      <c r="F2098" s="13">
        <f>IFERROR(__xludf.DUMMYFUNCTION("""COMPUTED_VALUE"""),45778.0)</f>
        <v>45778</v>
      </c>
      <c r="G2098" s="12"/>
      <c r="H2098" s="12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</row>
    <row r="2099">
      <c r="A2099" s="11" t="str">
        <f>IFERROR(__xludf.DUMMYFUNCTION("""COMPUTED_VALUE"""),"Texas Instruments Inc  Com")</f>
        <v>Texas Instruments Inc  Com</v>
      </c>
      <c r="B2099" s="12" t="str">
        <f>IFERROR(__xludf.DUMMYFUNCTION("""COMPUTED_VALUE"""),"TXN-US")</f>
        <v>TXN-US</v>
      </c>
      <c r="C2099" s="12"/>
      <c r="D2099" s="13">
        <f>IFERROR(__xludf.DUMMYFUNCTION("""COMPUTED_VALUE"""),45498.0)</f>
        <v>45498</v>
      </c>
      <c r="E2099" s="13">
        <f>IFERROR(__xludf.DUMMYFUNCTION("""COMPUTED_VALUE"""),45764.0)</f>
        <v>45764</v>
      </c>
      <c r="F2099" s="13">
        <f>IFERROR(__xludf.DUMMYFUNCTION("""COMPUTED_VALUE"""),45764.0)</f>
        <v>45764</v>
      </c>
      <c r="G2099" s="12"/>
      <c r="H2099" s="12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</row>
    <row r="2100">
      <c r="A2100" s="11" t="str">
        <f>IFERROR(__xludf.DUMMYFUNCTION("""COMPUTED_VALUE"""),"Pfizer Inc  Com")</f>
        <v>Pfizer Inc  Com</v>
      </c>
      <c r="B2100" s="12" t="str">
        <f>IFERROR(__xludf.DUMMYFUNCTION("""COMPUTED_VALUE"""),"PFE-US")</f>
        <v>PFE-US</v>
      </c>
      <c r="C2100" s="12"/>
      <c r="D2100" s="13">
        <f>IFERROR(__xludf.DUMMYFUNCTION("""COMPUTED_VALUE"""),45498.0)</f>
        <v>45498</v>
      </c>
      <c r="E2100" s="13">
        <f>IFERROR(__xludf.DUMMYFUNCTION("""COMPUTED_VALUE"""),45771.0)</f>
        <v>45771</v>
      </c>
      <c r="F2100" s="13">
        <f>IFERROR(__xludf.DUMMYFUNCTION("""COMPUTED_VALUE"""),45771.0)</f>
        <v>45771</v>
      </c>
      <c r="G2100" s="12"/>
      <c r="H2100" s="12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</row>
    <row r="2101">
      <c r="A2101" s="11" t="str">
        <f>IFERROR(__xludf.DUMMYFUNCTION("""COMPUTED_VALUE"""),"Hca Healthcare Inc  Com")</f>
        <v>Hca Healthcare Inc  Com</v>
      </c>
      <c r="B2101" s="12" t="str">
        <f>IFERROR(__xludf.DUMMYFUNCTION("""COMPUTED_VALUE"""),"HCA-US")</f>
        <v>HCA-US</v>
      </c>
      <c r="C2101" s="12"/>
      <c r="D2101" s="13">
        <f>IFERROR(__xludf.DUMMYFUNCTION("""COMPUTED_VALUE"""),45499.0)</f>
        <v>45499</v>
      </c>
      <c r="E2101" s="13">
        <f>IFERROR(__xludf.DUMMYFUNCTION("""COMPUTED_VALUE"""),45771.0)</f>
        <v>45771</v>
      </c>
      <c r="F2101" s="13">
        <f>IFERROR(__xludf.DUMMYFUNCTION("""COMPUTED_VALUE"""),45771.0)</f>
        <v>45771</v>
      </c>
      <c r="G2101" s="12"/>
      <c r="H2101" s="12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</row>
    <row r="2102">
      <c r="A2102" s="11" t="str">
        <f>IFERROR(__xludf.DUMMYFUNCTION("""COMPUTED_VALUE"""),"Fastenal Co  Com")</f>
        <v>Fastenal Co  Com</v>
      </c>
      <c r="B2102" s="12" t="str">
        <f>IFERROR(__xludf.DUMMYFUNCTION("""COMPUTED_VALUE"""),"FAST-US")</f>
        <v>FAST-US</v>
      </c>
      <c r="C2102" s="12"/>
      <c r="D2102" s="13">
        <f>IFERROR(__xludf.DUMMYFUNCTION("""COMPUTED_VALUE"""),45502.0)</f>
        <v>45502</v>
      </c>
      <c r="E2102" s="13">
        <f>IFERROR(__xludf.DUMMYFUNCTION("""COMPUTED_VALUE"""),45771.0)</f>
        <v>45771</v>
      </c>
      <c r="F2102" s="13">
        <f>IFERROR(__xludf.DUMMYFUNCTION("""COMPUTED_VALUE"""),45771.0)</f>
        <v>45771</v>
      </c>
      <c r="G2102" s="12"/>
      <c r="H2102" s="12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</row>
    <row r="2103">
      <c r="A2103" s="11" t="str">
        <f>IFERROR(__xludf.DUMMYFUNCTION("""COMPUTED_VALUE"""),"Edison International  Com")</f>
        <v>Edison International  Com</v>
      </c>
      <c r="B2103" s="12" t="str">
        <f>IFERROR(__xludf.DUMMYFUNCTION("""COMPUTED_VALUE"""),"EIX-US")</f>
        <v>EIX-US</v>
      </c>
      <c r="C2103" s="12"/>
      <c r="D2103" s="13">
        <f>IFERROR(__xludf.DUMMYFUNCTION("""COMPUTED_VALUE"""),45503.0)</f>
        <v>45503</v>
      </c>
      <c r="E2103" s="13">
        <f>IFERROR(__xludf.DUMMYFUNCTION("""COMPUTED_VALUE"""),45771.0)</f>
        <v>45771</v>
      </c>
      <c r="F2103" s="13">
        <f>IFERROR(__xludf.DUMMYFUNCTION("""COMPUTED_VALUE"""),45771.0)</f>
        <v>45771</v>
      </c>
      <c r="G2103" s="12"/>
      <c r="H2103" s="12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</row>
    <row r="2104">
      <c r="A2104" s="11" t="str">
        <f>IFERROR(__xludf.DUMMYFUNCTION("""COMPUTED_VALUE"""),"Global Payments Inc  Com")</f>
        <v>Global Payments Inc  Com</v>
      </c>
      <c r="B2104" s="12" t="str">
        <f>IFERROR(__xludf.DUMMYFUNCTION("""COMPUTED_VALUE"""),"GPN-US")</f>
        <v>GPN-US</v>
      </c>
      <c r="C2104" s="12"/>
      <c r="D2104" s="13">
        <f>IFERROR(__xludf.DUMMYFUNCTION("""COMPUTED_VALUE"""),45503.0)</f>
        <v>45503</v>
      </c>
      <c r="E2104" s="13">
        <f>IFERROR(__xludf.DUMMYFUNCTION("""COMPUTED_VALUE"""),45771.0)</f>
        <v>45771</v>
      </c>
      <c r="F2104" s="13">
        <f>IFERROR(__xludf.DUMMYFUNCTION("""COMPUTED_VALUE"""),45771.0)</f>
        <v>45771</v>
      </c>
      <c r="G2104" s="12"/>
      <c r="H2104" s="12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</row>
    <row r="2105">
      <c r="A2105" s="11" t="str">
        <f>IFERROR(__xludf.DUMMYFUNCTION("""COMPUTED_VALUE"""),"Citizens Financial Group Inc  Com")</f>
        <v>Citizens Financial Group Inc  Com</v>
      </c>
      <c r="B2105" s="12" t="str">
        <f>IFERROR(__xludf.DUMMYFUNCTION("""COMPUTED_VALUE"""),"CFG-US")</f>
        <v>CFG-US</v>
      </c>
      <c r="C2105" s="12"/>
      <c r="D2105" s="13">
        <f>IFERROR(__xludf.DUMMYFUNCTION("""COMPUTED_VALUE"""),45503.0)</f>
        <v>45503</v>
      </c>
      <c r="E2105" s="13">
        <f>IFERROR(__xludf.DUMMYFUNCTION("""COMPUTED_VALUE"""),45771.0)</f>
        <v>45771</v>
      </c>
      <c r="F2105" s="13">
        <f>IFERROR(__xludf.DUMMYFUNCTION("""COMPUTED_VALUE"""),45771.0)</f>
        <v>45771</v>
      </c>
      <c r="G2105" s="12"/>
      <c r="H2105" s="12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</row>
    <row r="2106">
      <c r="A2106" s="11" t="str">
        <f>IFERROR(__xludf.DUMMYFUNCTION("""COMPUTED_VALUE"""),"Avery Dennison Corp  Com")</f>
        <v>Avery Dennison Corp  Com</v>
      </c>
      <c r="B2106" s="12" t="str">
        <f>IFERROR(__xludf.DUMMYFUNCTION("""COMPUTED_VALUE"""),"AVY-US")</f>
        <v>AVY-US</v>
      </c>
      <c r="C2106" s="12"/>
      <c r="D2106" s="13">
        <f>IFERROR(__xludf.DUMMYFUNCTION("""COMPUTED_VALUE"""),45504.0)</f>
        <v>45504</v>
      </c>
      <c r="E2106" s="13">
        <f>IFERROR(__xludf.DUMMYFUNCTION("""COMPUTED_VALUE"""),45771.0)</f>
        <v>45771</v>
      </c>
      <c r="F2106" s="13">
        <f>IFERROR(__xludf.DUMMYFUNCTION("""COMPUTED_VALUE"""),45771.0)</f>
        <v>45771</v>
      </c>
      <c r="G2106" s="12"/>
      <c r="H2106" s="12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</row>
    <row r="2107">
      <c r="A2107" s="11" t="str">
        <f>IFERROR(__xludf.DUMMYFUNCTION("""COMPUTED_VALUE"""),"Dominos Pizza Inc  Com")</f>
        <v>Dominos Pizza Inc  Com</v>
      </c>
      <c r="B2107" s="12" t="str">
        <f>IFERROR(__xludf.DUMMYFUNCTION("""COMPUTED_VALUE"""),"DPZ-US")</f>
        <v>DPZ-US</v>
      </c>
      <c r="C2107" s="12"/>
      <c r="D2107" s="13">
        <f>IFERROR(__xludf.DUMMYFUNCTION("""COMPUTED_VALUE"""),45504.0)</f>
        <v>45504</v>
      </c>
      <c r="E2107" s="13">
        <f>IFERROR(__xludf.DUMMYFUNCTION("""COMPUTED_VALUE"""),45770.0)</f>
        <v>45770</v>
      </c>
      <c r="F2107" s="13">
        <f>IFERROR(__xludf.DUMMYFUNCTION("""COMPUTED_VALUE"""),45770.0)</f>
        <v>45770</v>
      </c>
      <c r="G2107" s="12"/>
      <c r="H2107" s="12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</row>
    <row r="2108">
      <c r="A2108" s="11" t="str">
        <f>IFERROR(__xludf.DUMMYFUNCTION("""COMPUTED_VALUE"""),"J B Hunt Transport Services Inc  Com")</f>
        <v>J B Hunt Transport Services Inc  Com</v>
      </c>
      <c r="B2108" s="12" t="str">
        <f>IFERROR(__xludf.DUMMYFUNCTION("""COMPUTED_VALUE"""),"JBHT-US")</f>
        <v>JBHT-US</v>
      </c>
      <c r="C2108" s="12"/>
      <c r="D2108" s="13">
        <f>IFERROR(__xludf.DUMMYFUNCTION("""COMPUTED_VALUE"""),45504.0)</f>
        <v>45504</v>
      </c>
      <c r="E2108" s="13">
        <f>IFERROR(__xludf.DUMMYFUNCTION("""COMPUTED_VALUE"""),45771.0)</f>
        <v>45771</v>
      </c>
      <c r="F2108" s="13">
        <f>IFERROR(__xludf.DUMMYFUNCTION("""COMPUTED_VALUE"""),45771.0)</f>
        <v>45771</v>
      </c>
      <c r="G2108" s="12"/>
      <c r="H2108" s="12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</row>
    <row r="2109">
      <c r="A2109" s="11" t="str">
        <f>IFERROR(__xludf.DUMMYFUNCTION("""COMPUTED_VALUE"""),"Saia Inc  Com")</f>
        <v>Saia Inc  Com</v>
      </c>
      <c r="B2109" s="12" t="str">
        <f>IFERROR(__xludf.DUMMYFUNCTION("""COMPUTED_VALUE"""),"SAIA-US")</f>
        <v>SAIA-US</v>
      </c>
      <c r="C2109" s="12"/>
      <c r="D2109" s="13">
        <f>IFERROR(__xludf.DUMMYFUNCTION("""COMPUTED_VALUE"""),45505.0)</f>
        <v>45505</v>
      </c>
      <c r="E2109" s="13">
        <f>IFERROR(__xludf.DUMMYFUNCTION("""COMPUTED_VALUE"""),45771.0)</f>
        <v>45771</v>
      </c>
      <c r="F2109" s="13">
        <f>IFERROR(__xludf.DUMMYFUNCTION("""COMPUTED_VALUE"""),45771.0)</f>
        <v>45771</v>
      </c>
      <c r="G2109" s="12"/>
      <c r="H2109" s="12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</row>
    <row r="2110">
      <c r="A2110" s="11" t="str">
        <f>IFERROR(__xludf.DUMMYFUNCTION("""COMPUTED_VALUE"""),"Globe Life Inc  Com")</f>
        <v>Globe Life Inc  Com</v>
      </c>
      <c r="B2110" s="12" t="str">
        <f>IFERROR(__xludf.DUMMYFUNCTION("""COMPUTED_VALUE"""),"GL-US")</f>
        <v>GL-US</v>
      </c>
      <c r="C2110" s="12"/>
      <c r="D2110" s="13">
        <f>IFERROR(__xludf.DUMMYFUNCTION("""COMPUTED_VALUE"""),45505.0)</f>
        <v>45505</v>
      </c>
      <c r="E2110" s="13">
        <f>IFERROR(__xludf.DUMMYFUNCTION("""COMPUTED_VALUE"""),45771.0)</f>
        <v>45771</v>
      </c>
      <c r="F2110" s="13">
        <f>IFERROR(__xludf.DUMMYFUNCTION("""COMPUTED_VALUE"""),45771.0)</f>
        <v>45771</v>
      </c>
      <c r="G2110" s="12"/>
      <c r="H2110" s="12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</row>
    <row r="2111">
      <c r="A2111" s="11" t="str">
        <f>IFERROR(__xludf.DUMMYFUNCTION("""COMPUTED_VALUE"""),"Aes Corp  Com")</f>
        <v>Aes Corp  Com</v>
      </c>
      <c r="B2111" s="12" t="str">
        <f>IFERROR(__xludf.DUMMYFUNCTION("""COMPUTED_VALUE"""),"AES-US")</f>
        <v>AES-US</v>
      </c>
      <c r="C2111" s="12"/>
      <c r="D2111" s="13">
        <f>IFERROR(__xludf.DUMMYFUNCTION("""COMPUTED_VALUE"""),45505.0)</f>
        <v>45505</v>
      </c>
      <c r="E2111" s="13">
        <f>IFERROR(__xludf.DUMMYFUNCTION("""COMPUTED_VALUE"""),45786.0)</f>
        <v>45786</v>
      </c>
      <c r="F2111" s="13">
        <f>IFERROR(__xludf.DUMMYFUNCTION("""COMPUTED_VALUE"""),45786.0)</f>
        <v>45786</v>
      </c>
      <c r="G2111" s="12"/>
      <c r="H2111" s="12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</row>
    <row r="2112">
      <c r="A2112" s="11" t="str">
        <f>IFERROR(__xludf.DUMMYFUNCTION("""COMPUTED_VALUE"""),"Brixmor Property Group Inc  Com")</f>
        <v>Brixmor Property Group Inc  Com</v>
      </c>
      <c r="B2112" s="12" t="str">
        <f>IFERROR(__xludf.DUMMYFUNCTION("""COMPUTED_VALUE"""),"BRX-US")</f>
        <v>BRX-US</v>
      </c>
      <c r="C2112" s="12"/>
      <c r="D2112" s="13">
        <f>IFERROR(__xludf.DUMMYFUNCTION("""COMPUTED_VALUE"""),45505.0)</f>
        <v>45505</v>
      </c>
      <c r="E2112" s="13">
        <f>IFERROR(__xludf.DUMMYFUNCTION("""COMPUTED_VALUE"""),45770.0)</f>
        <v>45770</v>
      </c>
      <c r="F2112" s="13">
        <f>IFERROR(__xludf.DUMMYFUNCTION("""COMPUTED_VALUE"""),45770.0)</f>
        <v>45770</v>
      </c>
      <c r="G2112" s="12"/>
      <c r="H2112" s="12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</row>
    <row r="2113">
      <c r="A2113" s="11" t="str">
        <f>IFERROR(__xludf.DUMMYFUNCTION("""COMPUTED_VALUE"""),"Lantheus Holdings Inc  Com")</f>
        <v>Lantheus Holdings Inc  Com</v>
      </c>
      <c r="B2113" s="12" t="str">
        <f>IFERROR(__xludf.DUMMYFUNCTION("""COMPUTED_VALUE"""),"LNTH-US")</f>
        <v>LNTH-US</v>
      </c>
      <c r="C2113" s="12"/>
      <c r="D2113" s="13">
        <f>IFERROR(__xludf.DUMMYFUNCTION("""COMPUTED_VALUE"""),45505.0)</f>
        <v>45505</v>
      </c>
      <c r="E2113" s="13">
        <f>IFERROR(__xludf.DUMMYFUNCTION("""COMPUTED_VALUE"""),45778.0)</f>
        <v>45778</v>
      </c>
      <c r="F2113" s="13">
        <f>IFERROR(__xludf.DUMMYFUNCTION("""COMPUTED_VALUE"""),45778.0)</f>
        <v>45778</v>
      </c>
      <c r="G2113" s="12"/>
      <c r="H2113" s="12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</row>
    <row r="2114">
      <c r="A2114" s="11" t="str">
        <f>IFERROR(__xludf.DUMMYFUNCTION("""COMPUTED_VALUE"""),"Rambus Inc (Del)  Com")</f>
        <v>Rambus Inc (Del)  Com</v>
      </c>
      <c r="B2114" s="12" t="str">
        <f>IFERROR(__xludf.DUMMYFUNCTION("""COMPUTED_VALUE"""),"RMBS-US")</f>
        <v>RMBS-US</v>
      </c>
      <c r="C2114" s="12"/>
      <c r="D2114" s="13">
        <f>IFERROR(__xludf.DUMMYFUNCTION("""COMPUTED_VALUE"""),45505.0)</f>
        <v>45505</v>
      </c>
      <c r="E2114" s="13">
        <f>IFERROR(__xludf.DUMMYFUNCTION("""COMPUTED_VALUE"""),45771.0)</f>
        <v>45771</v>
      </c>
      <c r="F2114" s="13">
        <f>IFERROR(__xludf.DUMMYFUNCTION("""COMPUTED_VALUE"""),45771.0)</f>
        <v>45771</v>
      </c>
      <c r="G2114" s="12"/>
      <c r="H2114" s="12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</row>
    <row r="2115">
      <c r="A2115" s="11" t="str">
        <f>IFERROR(__xludf.DUMMYFUNCTION("""COMPUTED_VALUE"""),"Halozyme Therapeutics Inc  Com")</f>
        <v>Halozyme Therapeutics Inc  Com</v>
      </c>
      <c r="B2115" s="12" t="str">
        <f>IFERROR(__xludf.DUMMYFUNCTION("""COMPUTED_VALUE"""),"HALO-US")</f>
        <v>HALO-US</v>
      </c>
      <c r="C2115" s="12"/>
      <c r="D2115" s="13">
        <f>IFERROR(__xludf.DUMMYFUNCTION("""COMPUTED_VALUE"""),45505.0)</f>
        <v>45505</v>
      </c>
      <c r="E2115" s="13">
        <f>IFERROR(__xludf.DUMMYFUNCTION("""COMPUTED_VALUE"""),45778.0)</f>
        <v>45778</v>
      </c>
      <c r="F2115" s="13">
        <f>IFERROR(__xludf.DUMMYFUNCTION("""COMPUTED_VALUE"""),45778.0)</f>
        <v>45778</v>
      </c>
      <c r="G2115" s="12"/>
      <c r="H2115" s="12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</row>
    <row r="2116">
      <c r="A2116" s="11" t="str">
        <f>IFERROR(__xludf.DUMMYFUNCTION("""COMPUTED_VALUE"""),"Mgic Investment Corp (Wi)  Com")</f>
        <v>Mgic Investment Corp (Wi)  Com</v>
      </c>
      <c r="B2116" s="12" t="str">
        <f>IFERROR(__xludf.DUMMYFUNCTION("""COMPUTED_VALUE"""),"MTG-US")</f>
        <v>MTG-US</v>
      </c>
      <c r="C2116" s="12"/>
      <c r="D2116" s="13">
        <f>IFERROR(__xludf.DUMMYFUNCTION("""COMPUTED_VALUE"""),45505.0)</f>
        <v>45505</v>
      </c>
      <c r="E2116" s="13">
        <f>IFERROR(__xludf.DUMMYFUNCTION("""COMPUTED_VALUE"""),45771.0)</f>
        <v>45771</v>
      </c>
      <c r="F2116" s="13">
        <f>IFERROR(__xludf.DUMMYFUNCTION("""COMPUTED_VALUE"""),45771.0)</f>
        <v>45771</v>
      </c>
      <c r="G2116" s="12"/>
      <c r="H2116" s="12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</row>
    <row r="2117">
      <c r="A2117" s="11" t="str">
        <f>IFERROR(__xludf.DUMMYFUNCTION("""COMPUTED_VALUE"""),"Littelfuse Inc  Com")</f>
        <v>Littelfuse Inc  Com</v>
      </c>
      <c r="B2117" s="12" t="str">
        <f>IFERROR(__xludf.DUMMYFUNCTION("""COMPUTED_VALUE"""),"LFUS-US")</f>
        <v>LFUS-US</v>
      </c>
      <c r="C2117" s="12"/>
      <c r="D2117" s="13">
        <f>IFERROR(__xludf.DUMMYFUNCTION("""COMPUTED_VALUE"""),45506.0)</f>
        <v>45506</v>
      </c>
      <c r="E2117" s="13">
        <f>IFERROR(__xludf.DUMMYFUNCTION("""COMPUTED_VALUE"""),45771.0)</f>
        <v>45771</v>
      </c>
      <c r="F2117" s="13">
        <f>IFERROR(__xludf.DUMMYFUNCTION("""COMPUTED_VALUE"""),45771.0)</f>
        <v>45771</v>
      </c>
      <c r="G2117" s="12"/>
      <c r="H2117" s="12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</row>
    <row r="2118">
      <c r="A2118" s="11" t="str">
        <f>IFERROR(__xludf.DUMMYFUNCTION("""COMPUTED_VALUE"""),"Agco Corp  Com")</f>
        <v>Agco Corp  Com</v>
      </c>
      <c r="B2118" s="12" t="str">
        <f>IFERROR(__xludf.DUMMYFUNCTION("""COMPUTED_VALUE"""),"AGCO-US")</f>
        <v>AGCO-US</v>
      </c>
      <c r="C2118" s="12"/>
      <c r="D2118" s="13">
        <f>IFERROR(__xludf.DUMMYFUNCTION("""COMPUTED_VALUE"""),45510.0)</f>
        <v>45510</v>
      </c>
      <c r="E2118" s="13">
        <f>IFERROR(__xludf.DUMMYFUNCTION("""COMPUTED_VALUE"""),45771.0)</f>
        <v>45771</v>
      </c>
      <c r="F2118" s="13">
        <f>IFERROR(__xludf.DUMMYFUNCTION("""COMPUTED_VALUE"""),45771.0)</f>
        <v>45771</v>
      </c>
      <c r="G2118" s="12"/>
      <c r="H2118" s="12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</row>
    <row r="2119">
      <c r="A2119" s="11" t="str">
        <f>IFERROR(__xludf.DUMMYFUNCTION("""COMPUTED_VALUE"""),"Caretrust Reit Inc  Unit")</f>
        <v>Caretrust Reit Inc  Unit</v>
      </c>
      <c r="B2119" s="12" t="str">
        <f>IFERROR(__xludf.DUMMYFUNCTION("""COMPUTED_VALUE"""),"CTRE-US")</f>
        <v>CTRE-US</v>
      </c>
      <c r="C2119" s="12"/>
      <c r="D2119" s="13">
        <f>IFERROR(__xludf.DUMMYFUNCTION("""COMPUTED_VALUE"""),45510.0)</f>
        <v>45510</v>
      </c>
      <c r="E2119" s="13">
        <f>IFERROR(__xludf.DUMMYFUNCTION("""COMPUTED_VALUE"""),45776.0)</f>
        <v>45776</v>
      </c>
      <c r="F2119" s="13">
        <f>IFERROR(__xludf.DUMMYFUNCTION("""COMPUTED_VALUE"""),45776.0)</f>
        <v>45776</v>
      </c>
      <c r="G2119" s="12"/>
      <c r="H2119" s="12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</row>
    <row r="2120">
      <c r="A2120" s="11" t="str">
        <f>IFERROR(__xludf.DUMMYFUNCTION("""COMPUTED_VALUE"""),"Matson Inc  Com")</f>
        <v>Matson Inc  Com</v>
      </c>
      <c r="B2120" s="12" t="str">
        <f>IFERROR(__xludf.DUMMYFUNCTION("""COMPUTED_VALUE"""),"MATX-US")</f>
        <v>MATX-US</v>
      </c>
      <c r="C2120" s="12"/>
      <c r="D2120" s="13">
        <f>IFERROR(__xludf.DUMMYFUNCTION("""COMPUTED_VALUE"""),45510.0)</f>
        <v>45510</v>
      </c>
      <c r="E2120" s="13">
        <f>IFERROR(__xludf.DUMMYFUNCTION("""COMPUTED_VALUE"""),45771.0)</f>
        <v>45771</v>
      </c>
      <c r="F2120" s="13">
        <f>IFERROR(__xludf.DUMMYFUNCTION("""COMPUTED_VALUE"""),45771.0)</f>
        <v>45771</v>
      </c>
      <c r="G2120" s="12"/>
      <c r="H2120" s="12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</row>
    <row r="2121">
      <c r="A2121" s="11" t="str">
        <f>IFERROR(__xludf.DUMMYFUNCTION("""COMPUTED_VALUE"""),"Advanced Energy Industries Inc  Com")</f>
        <v>Advanced Energy Industries Inc  Com</v>
      </c>
      <c r="B2121" s="12" t="str">
        <f>IFERROR(__xludf.DUMMYFUNCTION("""COMPUTED_VALUE"""),"AEIS-US")</f>
        <v>AEIS-US</v>
      </c>
      <c r="C2121" s="12"/>
      <c r="D2121" s="13">
        <f>IFERROR(__xludf.DUMMYFUNCTION("""COMPUTED_VALUE"""),45510.0)</f>
        <v>45510</v>
      </c>
      <c r="E2121" s="13">
        <f>IFERROR(__xludf.DUMMYFUNCTION("""COMPUTED_VALUE"""),45771.0)</f>
        <v>45771</v>
      </c>
      <c r="F2121" s="13">
        <f>IFERROR(__xludf.DUMMYFUNCTION("""COMPUTED_VALUE"""),45771.0)</f>
        <v>45771</v>
      </c>
      <c r="G2121" s="12"/>
      <c r="H2121" s="12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</row>
    <row r="2122">
      <c r="A2122" s="11" t="str">
        <f>IFERROR(__xludf.DUMMYFUNCTION("""COMPUTED_VALUE"""),"Olin Corp  Com")</f>
        <v>Olin Corp  Com</v>
      </c>
      <c r="B2122" s="12" t="str">
        <f>IFERROR(__xludf.DUMMYFUNCTION("""COMPUTED_VALUE"""),"OLN-US")</f>
        <v>OLN-US</v>
      </c>
      <c r="C2122" s="12"/>
      <c r="D2122" s="13">
        <f>IFERROR(__xludf.DUMMYFUNCTION("""COMPUTED_VALUE"""),45510.0)</f>
        <v>45510</v>
      </c>
      <c r="E2122" s="13">
        <f>IFERROR(__xludf.DUMMYFUNCTION("""COMPUTED_VALUE"""),45778.0)</f>
        <v>45778</v>
      </c>
      <c r="F2122" s="13">
        <f>IFERROR(__xludf.DUMMYFUNCTION("""COMPUTED_VALUE"""),45778.0)</f>
        <v>45778</v>
      </c>
      <c r="G2122" s="12"/>
      <c r="H2122" s="12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</row>
    <row r="2123">
      <c r="A2123" s="11" t="str">
        <f>IFERROR(__xludf.DUMMYFUNCTION("""COMPUTED_VALUE"""),"Archrock Inc  Com")</f>
        <v>Archrock Inc  Com</v>
      </c>
      <c r="B2123" s="12" t="str">
        <f>IFERROR(__xludf.DUMMYFUNCTION("""COMPUTED_VALUE"""),"AROC-US")</f>
        <v>AROC-US</v>
      </c>
      <c r="C2123" s="12"/>
      <c r="D2123" s="13">
        <f>IFERROR(__xludf.DUMMYFUNCTION("""COMPUTED_VALUE"""),45512.0)</f>
        <v>45512</v>
      </c>
      <c r="E2123" s="13">
        <f>IFERROR(__xludf.DUMMYFUNCTION("""COMPUTED_VALUE"""),45771.0)</f>
        <v>45771</v>
      </c>
      <c r="F2123" s="13">
        <f>IFERROR(__xludf.DUMMYFUNCTION("""COMPUTED_VALUE"""),45771.0)</f>
        <v>45771</v>
      </c>
      <c r="G2123" s="12"/>
      <c r="H2123" s="12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</row>
    <row r="2124">
      <c r="A2124" s="11" t="str">
        <f>IFERROR(__xludf.DUMMYFUNCTION("""COMPUTED_VALUE"""),"Newmarket Corp  Com")</f>
        <v>Newmarket Corp  Com</v>
      </c>
      <c r="B2124" s="12" t="str">
        <f>IFERROR(__xludf.DUMMYFUNCTION("""COMPUTED_VALUE"""),"NEU-US")</f>
        <v>NEU-US</v>
      </c>
      <c r="C2124" s="12"/>
      <c r="D2124" s="13">
        <f>IFERROR(__xludf.DUMMYFUNCTION("""COMPUTED_VALUE"""),45512.0)</f>
        <v>45512</v>
      </c>
      <c r="E2124" s="13">
        <f>IFERROR(__xludf.DUMMYFUNCTION("""COMPUTED_VALUE"""),45771.0)</f>
        <v>45771</v>
      </c>
      <c r="F2124" s="13">
        <f>IFERROR(__xludf.DUMMYFUNCTION("""COMPUTED_VALUE"""),45771.0)</f>
        <v>45771</v>
      </c>
      <c r="G2124" s="12"/>
      <c r="H2124" s="12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</row>
    <row r="2125">
      <c r="A2125" s="11" t="str">
        <f>IFERROR(__xludf.DUMMYFUNCTION("""COMPUTED_VALUE"""),"Polaris Inc  Com")</f>
        <v>Polaris Inc  Com</v>
      </c>
      <c r="B2125" s="12" t="str">
        <f>IFERROR(__xludf.DUMMYFUNCTION("""COMPUTED_VALUE"""),"PII-US")</f>
        <v>PII-US</v>
      </c>
      <c r="C2125" s="12"/>
      <c r="D2125" s="13">
        <f>IFERROR(__xludf.DUMMYFUNCTION("""COMPUTED_VALUE"""),45512.0)</f>
        <v>45512</v>
      </c>
      <c r="E2125" s="13">
        <f>IFERROR(__xludf.DUMMYFUNCTION("""COMPUTED_VALUE"""),45778.0)</f>
        <v>45778</v>
      </c>
      <c r="F2125" s="13">
        <f>IFERROR(__xludf.DUMMYFUNCTION("""COMPUTED_VALUE"""),45778.0)</f>
        <v>45778</v>
      </c>
      <c r="G2125" s="12"/>
      <c r="H2125" s="12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</row>
    <row r="2126">
      <c r="A2126" s="11" t="str">
        <f>IFERROR(__xludf.DUMMYFUNCTION("""COMPUTED_VALUE"""),"Sensient Technologies Corp  Com")</f>
        <v>Sensient Technologies Corp  Com</v>
      </c>
      <c r="B2126" s="12" t="str">
        <f>IFERROR(__xludf.DUMMYFUNCTION("""COMPUTED_VALUE"""),"SXT-US")</f>
        <v>SXT-US</v>
      </c>
      <c r="C2126" s="12"/>
      <c r="D2126" s="13">
        <f>IFERROR(__xludf.DUMMYFUNCTION("""COMPUTED_VALUE"""),45512.0)</f>
        <v>45512</v>
      </c>
      <c r="E2126" s="13">
        <f>IFERROR(__xludf.DUMMYFUNCTION("""COMPUTED_VALUE"""),45771.0)</f>
        <v>45771</v>
      </c>
      <c r="F2126" s="13">
        <f>IFERROR(__xludf.DUMMYFUNCTION("""COMPUTED_VALUE"""),45771.0)</f>
        <v>45771</v>
      </c>
      <c r="G2126" s="12"/>
      <c r="H2126" s="12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</row>
    <row r="2127">
      <c r="A2127" s="11" t="str">
        <f>IFERROR(__xludf.DUMMYFUNCTION("""COMPUTED_VALUE"""),"Warrior Met Coal Inc  Com")</f>
        <v>Warrior Met Coal Inc  Com</v>
      </c>
      <c r="B2127" s="12" t="str">
        <f>IFERROR(__xludf.DUMMYFUNCTION("""COMPUTED_VALUE"""),"HCC-US")</f>
        <v>HCC-US</v>
      </c>
      <c r="C2127" s="12"/>
      <c r="D2127" s="13">
        <f>IFERROR(__xludf.DUMMYFUNCTION("""COMPUTED_VALUE"""),45512.0)</f>
        <v>45512</v>
      </c>
      <c r="E2127" s="13">
        <f>IFERROR(__xludf.DUMMYFUNCTION("""COMPUTED_VALUE"""),45770.0)</f>
        <v>45770</v>
      </c>
      <c r="F2127" s="13">
        <f>IFERROR(__xludf.DUMMYFUNCTION("""COMPUTED_VALUE"""),45770.0)</f>
        <v>45770</v>
      </c>
      <c r="G2127" s="12"/>
      <c r="H2127" s="12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</row>
    <row r="2128">
      <c r="A2128" s="11" t="str">
        <f>IFERROR(__xludf.DUMMYFUNCTION("""COMPUTED_VALUE"""),"Provident Financial Services  Com")</f>
        <v>Provident Financial Services  Com</v>
      </c>
      <c r="B2128" s="12" t="str">
        <f>IFERROR(__xludf.DUMMYFUNCTION("""COMPUTED_VALUE"""),"PFS-US")</f>
        <v>PFS-US</v>
      </c>
      <c r="C2128" s="12"/>
      <c r="D2128" s="13">
        <f>IFERROR(__xludf.DUMMYFUNCTION("""COMPUTED_VALUE"""),45512.0)</f>
        <v>45512</v>
      </c>
      <c r="E2128" s="13">
        <f>IFERROR(__xludf.DUMMYFUNCTION("""COMPUTED_VALUE"""),45771.0)</f>
        <v>45771</v>
      </c>
      <c r="F2128" s="13">
        <f>IFERROR(__xludf.DUMMYFUNCTION("""COMPUTED_VALUE"""),45771.0)</f>
        <v>45771</v>
      </c>
      <c r="G2128" s="12"/>
      <c r="H2128" s="12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</row>
    <row r="2129">
      <c r="A2129" s="11" t="str">
        <f>IFERROR(__xludf.DUMMYFUNCTION("""COMPUTED_VALUE"""),"Clearway Energy Inc  Cl C")</f>
        <v>Clearway Energy Inc  Cl C</v>
      </c>
      <c r="B2129" s="12" t="str">
        <f>IFERROR(__xludf.DUMMYFUNCTION("""COMPUTED_VALUE"""),"CWEN-US")</f>
        <v>CWEN-US</v>
      </c>
      <c r="C2129" s="12"/>
      <c r="D2129" s="13">
        <f>IFERROR(__xludf.DUMMYFUNCTION("""COMPUTED_VALUE"""),45512.0)</f>
        <v>45512</v>
      </c>
      <c r="E2129" s="13">
        <f>IFERROR(__xludf.DUMMYFUNCTION("""COMPUTED_VALUE"""),45769.0)</f>
        <v>45769</v>
      </c>
      <c r="F2129" s="13">
        <f>IFERROR(__xludf.DUMMYFUNCTION("""COMPUTED_VALUE"""),45769.0)</f>
        <v>45769</v>
      </c>
      <c r="G2129" s="12"/>
      <c r="H2129" s="12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</row>
    <row r="2130">
      <c r="A2130" s="11" t="str">
        <f>IFERROR(__xludf.DUMMYFUNCTION("""COMPUTED_VALUE"""),"Stock Yards Bancorp Inc  Com")</f>
        <v>Stock Yards Bancorp Inc  Com</v>
      </c>
      <c r="B2130" s="12" t="str">
        <f>IFERROR(__xludf.DUMMYFUNCTION("""COMPUTED_VALUE"""),"SYBT-US")</f>
        <v>SYBT-US</v>
      </c>
      <c r="C2130" s="12"/>
      <c r="D2130" s="13">
        <f>IFERROR(__xludf.DUMMYFUNCTION("""COMPUTED_VALUE"""),45516.0)</f>
        <v>45516</v>
      </c>
      <c r="E2130" s="13">
        <f>IFERROR(__xludf.DUMMYFUNCTION("""COMPUTED_VALUE"""),45771.0)</f>
        <v>45771</v>
      </c>
      <c r="F2130" s="13">
        <f>IFERROR(__xludf.DUMMYFUNCTION("""COMPUTED_VALUE"""),45771.0)</f>
        <v>45771</v>
      </c>
      <c r="G2130" s="12"/>
      <c r="H2130" s="12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</row>
    <row r="2131">
      <c r="A2131" s="11" t="str">
        <f>IFERROR(__xludf.DUMMYFUNCTION("""COMPUTED_VALUE"""),"Lgi Homes Inc  Com")</f>
        <v>Lgi Homes Inc  Com</v>
      </c>
      <c r="B2131" s="12" t="str">
        <f>IFERROR(__xludf.DUMMYFUNCTION("""COMPUTED_VALUE"""),"LGIH-US")</f>
        <v>LGIH-US</v>
      </c>
      <c r="C2131" s="12"/>
      <c r="D2131" s="13">
        <f>IFERROR(__xludf.DUMMYFUNCTION("""COMPUTED_VALUE"""),45517.0)</f>
        <v>45517</v>
      </c>
      <c r="E2131" s="13">
        <f>IFERROR(__xludf.DUMMYFUNCTION("""COMPUTED_VALUE"""),45771.0)</f>
        <v>45771</v>
      </c>
      <c r="F2131" s="13">
        <f>IFERROR(__xludf.DUMMYFUNCTION("""COMPUTED_VALUE"""),45771.0)</f>
        <v>45771</v>
      </c>
      <c r="G2131" s="12"/>
      <c r="H2131" s="12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</row>
    <row r="2132">
      <c r="A2132" s="11" t="str">
        <f>IFERROR(__xludf.DUMMYFUNCTION("""COMPUTED_VALUE"""),"Select Medical Holdings  Inc  Com")</f>
        <v>Select Medical Holdings  Inc  Com</v>
      </c>
      <c r="B2132" s="12" t="str">
        <f>IFERROR(__xludf.DUMMYFUNCTION("""COMPUTED_VALUE"""),"SEM-US")</f>
        <v>SEM-US</v>
      </c>
      <c r="C2132" s="12"/>
      <c r="D2132" s="13">
        <f>IFERROR(__xludf.DUMMYFUNCTION("""COMPUTED_VALUE"""),45517.0)</f>
        <v>45517</v>
      </c>
      <c r="E2132" s="13">
        <f>IFERROR(__xludf.DUMMYFUNCTION("""COMPUTED_VALUE"""),45771.0)</f>
        <v>45771</v>
      </c>
      <c r="F2132" s="13">
        <f>IFERROR(__xludf.DUMMYFUNCTION("""COMPUTED_VALUE"""),45771.0)</f>
        <v>45771</v>
      </c>
      <c r="G2132" s="12"/>
      <c r="H2132" s="12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</row>
    <row r="2133">
      <c r="A2133" s="11" t="str">
        <f>IFERROR(__xludf.DUMMYFUNCTION("""COMPUTED_VALUE"""),"Treehouse Foods Inc  Com")</f>
        <v>Treehouse Foods Inc  Com</v>
      </c>
      <c r="B2133" s="12" t="str">
        <f>IFERROR(__xludf.DUMMYFUNCTION("""COMPUTED_VALUE"""),"THS-US")</f>
        <v>THS-US</v>
      </c>
      <c r="C2133" s="12"/>
      <c r="D2133" s="13">
        <f>IFERROR(__xludf.DUMMYFUNCTION("""COMPUTED_VALUE"""),45517.0)</f>
        <v>45517</v>
      </c>
      <c r="E2133" s="13">
        <f>IFERROR(__xludf.DUMMYFUNCTION("""COMPUTED_VALUE"""),45771.0)</f>
        <v>45771</v>
      </c>
      <c r="F2133" s="13">
        <f>IFERROR(__xludf.DUMMYFUNCTION("""COMPUTED_VALUE"""),45771.0)</f>
        <v>45771</v>
      </c>
      <c r="G2133" s="12"/>
      <c r="H2133" s="12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</row>
    <row r="2134">
      <c r="A2134" s="11" t="str">
        <f>IFERROR(__xludf.DUMMYFUNCTION("""COMPUTED_VALUE"""),"Getty Realty Corp  Com")</f>
        <v>Getty Realty Corp  Com</v>
      </c>
      <c r="B2134" s="12" t="str">
        <f>IFERROR(__xludf.DUMMYFUNCTION("""COMPUTED_VALUE"""),"GTY-US")</f>
        <v>GTY-US</v>
      </c>
      <c r="C2134" s="12"/>
      <c r="D2134" s="13">
        <f>IFERROR(__xludf.DUMMYFUNCTION("""COMPUTED_VALUE"""),45517.0)</f>
        <v>45517</v>
      </c>
      <c r="E2134" s="13">
        <f>IFERROR(__xludf.DUMMYFUNCTION("""COMPUTED_VALUE"""),45769.0)</f>
        <v>45769</v>
      </c>
      <c r="F2134" s="13">
        <f>IFERROR(__xludf.DUMMYFUNCTION("""COMPUTED_VALUE"""),45769.0)</f>
        <v>45769</v>
      </c>
      <c r="G2134" s="12"/>
      <c r="H2134" s="12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</row>
    <row r="2135">
      <c r="A2135" s="11" t="str">
        <f>IFERROR(__xludf.DUMMYFUNCTION("""COMPUTED_VALUE"""),"Peoples Bancorp Inc  Com")</f>
        <v>Peoples Bancorp Inc  Com</v>
      </c>
      <c r="B2135" s="12" t="str">
        <f>IFERROR(__xludf.DUMMYFUNCTION("""COMPUTED_VALUE"""),"PEBO-US")</f>
        <v>PEBO-US</v>
      </c>
      <c r="C2135" s="12"/>
      <c r="D2135" s="13">
        <f>IFERROR(__xludf.DUMMYFUNCTION("""COMPUTED_VALUE"""),45517.0)</f>
        <v>45517</v>
      </c>
      <c r="E2135" s="13">
        <f>IFERROR(__xludf.DUMMYFUNCTION("""COMPUTED_VALUE"""),45771.0)</f>
        <v>45771</v>
      </c>
      <c r="F2135" s="13">
        <f>IFERROR(__xludf.DUMMYFUNCTION("""COMPUTED_VALUE"""),45771.0)</f>
        <v>45771</v>
      </c>
      <c r="G2135" s="12"/>
      <c r="H2135" s="12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</row>
    <row r="2136">
      <c r="A2136" s="11" t="str">
        <f>IFERROR(__xludf.DUMMYFUNCTION("""COMPUTED_VALUE"""),"Diebold Nixdorf Inc  Com")</f>
        <v>Diebold Nixdorf Inc  Com</v>
      </c>
      <c r="B2136" s="12" t="str">
        <f>IFERROR(__xludf.DUMMYFUNCTION("""COMPUTED_VALUE"""),"DBD-US")</f>
        <v>DBD-US</v>
      </c>
      <c r="C2136" s="12"/>
      <c r="D2136" s="13">
        <f>IFERROR(__xludf.DUMMYFUNCTION("""COMPUTED_VALUE"""),45518.0)</f>
        <v>45518</v>
      </c>
      <c r="E2136" s="13">
        <f>IFERROR(__xludf.DUMMYFUNCTION("""COMPUTED_VALUE"""),45777.0)</f>
        <v>45777</v>
      </c>
      <c r="F2136" s="13">
        <f>IFERROR(__xludf.DUMMYFUNCTION("""COMPUTED_VALUE"""),45777.0)</f>
        <v>45777</v>
      </c>
      <c r="G2136" s="12"/>
      <c r="H2136" s="12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</row>
    <row r="2137">
      <c r="A2137" s="11" t="str">
        <f>IFERROR(__xludf.DUMMYFUNCTION("""COMPUTED_VALUE"""),"Deluxe Corp  Com")</f>
        <v>Deluxe Corp  Com</v>
      </c>
      <c r="B2137" s="12" t="str">
        <f>IFERROR(__xludf.DUMMYFUNCTION("""COMPUTED_VALUE"""),"DLX-US")</f>
        <v>DLX-US</v>
      </c>
      <c r="C2137" s="12"/>
      <c r="D2137" s="13">
        <f>IFERROR(__xludf.DUMMYFUNCTION("""COMPUTED_VALUE"""),45518.0)</f>
        <v>45518</v>
      </c>
      <c r="E2137" s="13">
        <f>IFERROR(__xludf.DUMMYFUNCTION("""COMPUTED_VALUE"""),45771.0)</f>
        <v>45771</v>
      </c>
      <c r="F2137" s="13">
        <f>IFERROR(__xludf.DUMMYFUNCTION("""COMPUTED_VALUE"""),45771.0)</f>
        <v>45771</v>
      </c>
      <c r="G2137" s="12"/>
      <c r="H2137" s="12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</row>
    <row r="2138">
      <c r="A2138" s="11" t="str">
        <f>IFERROR(__xludf.DUMMYFUNCTION("""COMPUTED_VALUE"""),"1St Source Corp  Com")</f>
        <v>1St Source Corp  Com</v>
      </c>
      <c r="B2138" s="12" t="str">
        <f>IFERROR(__xludf.DUMMYFUNCTION("""COMPUTED_VALUE"""),"SRCE-US")</f>
        <v>SRCE-US</v>
      </c>
      <c r="C2138" s="12"/>
      <c r="D2138" s="13">
        <f>IFERROR(__xludf.DUMMYFUNCTION("""COMPUTED_VALUE"""),45518.0)</f>
        <v>45518</v>
      </c>
      <c r="E2138" s="13">
        <f>IFERROR(__xludf.DUMMYFUNCTION("""COMPUTED_VALUE"""),45771.0)</f>
        <v>45771</v>
      </c>
      <c r="F2138" s="13">
        <f>IFERROR(__xludf.DUMMYFUNCTION("""COMPUTED_VALUE"""),45771.0)</f>
        <v>45771</v>
      </c>
      <c r="G2138" s="12"/>
      <c r="H2138" s="12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</row>
    <row r="2139">
      <c r="A2139" s="11" t="str">
        <f>IFERROR(__xludf.DUMMYFUNCTION("""COMPUTED_VALUE"""),"Utz Brands Inc  Cl A")</f>
        <v>Utz Brands Inc  Cl A</v>
      </c>
      <c r="B2139" s="12" t="str">
        <f>IFERROR(__xludf.DUMMYFUNCTION("""COMPUTED_VALUE"""),"UTZ-US")</f>
        <v>UTZ-US</v>
      </c>
      <c r="C2139" s="12"/>
      <c r="D2139" s="13">
        <f>IFERROR(__xludf.DUMMYFUNCTION("""COMPUTED_VALUE"""),45519.0)</f>
        <v>45519</v>
      </c>
      <c r="E2139" s="13">
        <f>IFERROR(__xludf.DUMMYFUNCTION("""COMPUTED_VALUE"""),45771.0)</f>
        <v>45771</v>
      </c>
      <c r="F2139" s="13">
        <f>IFERROR(__xludf.DUMMYFUNCTION("""COMPUTED_VALUE"""),45771.0)</f>
        <v>45771</v>
      </c>
      <c r="G2139" s="12"/>
      <c r="H2139" s="12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</row>
    <row r="2140">
      <c r="A2140" s="11" t="str">
        <f>IFERROR(__xludf.DUMMYFUNCTION("""COMPUTED_VALUE"""),"Central Pacific Financial Corp  Com")</f>
        <v>Central Pacific Financial Corp  Com</v>
      </c>
      <c r="B2140" s="12" t="str">
        <f>IFERROR(__xludf.DUMMYFUNCTION("""COMPUTED_VALUE"""),"CPF-US")</f>
        <v>CPF-US</v>
      </c>
      <c r="C2140" s="12"/>
      <c r="D2140" s="13">
        <f>IFERROR(__xludf.DUMMYFUNCTION("""COMPUTED_VALUE"""),45519.0)</f>
        <v>45519</v>
      </c>
      <c r="E2140" s="13">
        <f>IFERROR(__xludf.DUMMYFUNCTION("""COMPUTED_VALUE"""),45771.0)</f>
        <v>45771</v>
      </c>
      <c r="F2140" s="13">
        <f>IFERROR(__xludf.DUMMYFUNCTION("""COMPUTED_VALUE"""),45771.0)</f>
        <v>45771</v>
      </c>
      <c r="G2140" s="12"/>
      <c r="H2140" s="12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</row>
    <row r="2141">
      <c r="A2141" s="11" t="str">
        <f>IFERROR(__xludf.DUMMYFUNCTION("""COMPUTED_VALUE"""),"Republic Bancorp Inc/Ky  Cl A")</f>
        <v>Republic Bancorp Inc/Ky  Cl A</v>
      </c>
      <c r="B2141" s="12" t="str">
        <f>IFERROR(__xludf.DUMMYFUNCTION("""COMPUTED_VALUE"""),"RBCAA-US")</f>
        <v>RBCAA-US</v>
      </c>
      <c r="C2141" s="12"/>
      <c r="D2141" s="13">
        <f>IFERROR(__xludf.DUMMYFUNCTION("""COMPUTED_VALUE"""),45519.0)</f>
        <v>45519</v>
      </c>
      <c r="E2141" s="13">
        <f>IFERROR(__xludf.DUMMYFUNCTION("""COMPUTED_VALUE"""),45771.0)</f>
        <v>45771</v>
      </c>
      <c r="F2141" s="13">
        <f>IFERROR(__xludf.DUMMYFUNCTION("""COMPUTED_VALUE"""),45771.0)</f>
        <v>45771</v>
      </c>
      <c r="G2141" s="12"/>
      <c r="H2141" s="12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</row>
    <row r="2142">
      <c r="A2142" s="11" t="str">
        <f>IFERROR(__xludf.DUMMYFUNCTION("""COMPUTED_VALUE"""),"Odp Corp  Com")</f>
        <v>Odp Corp  Com</v>
      </c>
      <c r="B2142" s="12" t="str">
        <f>IFERROR(__xludf.DUMMYFUNCTION("""COMPUTED_VALUE"""),"ODP-US")</f>
        <v>ODP-US</v>
      </c>
      <c r="C2142" s="12"/>
      <c r="D2142" s="13">
        <f>IFERROR(__xludf.DUMMYFUNCTION("""COMPUTED_VALUE"""),45519.0)</f>
        <v>45519</v>
      </c>
      <c r="E2142" s="13">
        <f>IFERROR(__xludf.DUMMYFUNCTION("""COMPUTED_VALUE"""),45778.0)</f>
        <v>45778</v>
      </c>
      <c r="F2142" s="13">
        <f>IFERROR(__xludf.DUMMYFUNCTION("""COMPUTED_VALUE"""),45778.0)</f>
        <v>45778</v>
      </c>
      <c r="G2142" s="12"/>
      <c r="H2142" s="12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</row>
    <row r="2143">
      <c r="A2143" s="11" t="str">
        <f>IFERROR(__xludf.DUMMYFUNCTION("""COMPUTED_VALUE"""),"Univest Financial Corp  Com")</f>
        <v>Univest Financial Corp  Com</v>
      </c>
      <c r="B2143" s="12" t="str">
        <f>IFERROR(__xludf.DUMMYFUNCTION("""COMPUTED_VALUE"""),"UVSP-US")</f>
        <v>UVSP-US</v>
      </c>
      <c r="C2143" s="12"/>
      <c r="D2143" s="13">
        <f>IFERROR(__xludf.DUMMYFUNCTION("""COMPUTED_VALUE"""),45519.0)</f>
        <v>45519</v>
      </c>
      <c r="E2143" s="13">
        <f>IFERROR(__xludf.DUMMYFUNCTION("""COMPUTED_VALUE"""),45771.0)</f>
        <v>45771</v>
      </c>
      <c r="F2143" s="13">
        <f>IFERROR(__xludf.DUMMYFUNCTION("""COMPUTED_VALUE"""),45771.0)</f>
        <v>45771</v>
      </c>
      <c r="G2143" s="12"/>
      <c r="H2143" s="12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</row>
    <row r="2144">
      <c r="A2144" s="11" t="str">
        <f>IFERROR(__xludf.DUMMYFUNCTION("""COMPUTED_VALUE"""),"Clearway Energy Inc  Cl A")</f>
        <v>Clearway Energy Inc  Cl A</v>
      </c>
      <c r="B2144" s="12" t="str">
        <f>IFERROR(__xludf.DUMMYFUNCTION("""COMPUTED_VALUE"""),"CWEN.A-US")</f>
        <v>CWEN.A-US</v>
      </c>
      <c r="C2144" s="12"/>
      <c r="D2144" s="13">
        <f>IFERROR(__xludf.DUMMYFUNCTION("""COMPUTED_VALUE"""),45523.0)</f>
        <v>45523</v>
      </c>
      <c r="E2144" s="13">
        <f>IFERROR(__xludf.DUMMYFUNCTION("""COMPUTED_VALUE"""),45769.0)</f>
        <v>45769</v>
      </c>
      <c r="F2144" s="13">
        <f>IFERROR(__xludf.DUMMYFUNCTION("""COMPUTED_VALUE"""),45769.0)</f>
        <v>45769</v>
      </c>
      <c r="G2144" s="12"/>
      <c r="H2144" s="12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</row>
    <row r="2145">
      <c r="A2145" s="11" t="str">
        <f>IFERROR(__xludf.DUMMYFUNCTION("""COMPUTED_VALUE"""),"Astec Industries Inc  Com")</f>
        <v>Astec Industries Inc  Com</v>
      </c>
      <c r="B2145" s="12" t="str">
        <f>IFERROR(__xludf.DUMMYFUNCTION("""COMPUTED_VALUE"""),"ASTE-US")</f>
        <v>ASTE-US</v>
      </c>
      <c r="C2145" s="12"/>
      <c r="D2145" s="13">
        <f>IFERROR(__xludf.DUMMYFUNCTION("""COMPUTED_VALUE"""),45523.0)</f>
        <v>45523</v>
      </c>
      <c r="E2145" s="13">
        <f>IFERROR(__xludf.DUMMYFUNCTION("""COMPUTED_VALUE"""),45772.0)</f>
        <v>45772</v>
      </c>
      <c r="F2145" s="13">
        <f>IFERROR(__xludf.DUMMYFUNCTION("""COMPUTED_VALUE"""),45772.0)</f>
        <v>45772</v>
      </c>
      <c r="G2145" s="12"/>
      <c r="H2145" s="12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</row>
    <row r="2146">
      <c r="A2146" s="11" t="str">
        <f>IFERROR(__xludf.DUMMYFUNCTION("""COMPUTED_VALUE"""),"Herbalife Ltd  Com")</f>
        <v>Herbalife Ltd  Com</v>
      </c>
      <c r="B2146" s="12" t="str">
        <f>IFERROR(__xludf.DUMMYFUNCTION("""COMPUTED_VALUE"""),"HLF-US")</f>
        <v>HLF-US</v>
      </c>
      <c r="C2146" s="12"/>
      <c r="D2146" s="13">
        <f>IFERROR(__xludf.DUMMYFUNCTION("""COMPUTED_VALUE"""),45524.0)</f>
        <v>45524</v>
      </c>
      <c r="E2146" s="13">
        <f>IFERROR(__xludf.DUMMYFUNCTION("""COMPUTED_VALUE"""),45770.0)</f>
        <v>45770</v>
      </c>
      <c r="F2146" s="13">
        <f>IFERROR(__xludf.DUMMYFUNCTION("""COMPUTED_VALUE"""),45770.0)</f>
        <v>45770</v>
      </c>
      <c r="G2146" s="12"/>
      <c r="H2146" s="12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</row>
    <row r="2147">
      <c r="A2147" s="11" t="str">
        <f>IFERROR(__xludf.DUMMYFUNCTION("""COMPUTED_VALUE"""),"Avanos Medical Inc  Com")</f>
        <v>Avanos Medical Inc  Com</v>
      </c>
      <c r="B2147" s="12" t="str">
        <f>IFERROR(__xludf.DUMMYFUNCTION("""COMPUTED_VALUE"""),"AVNS-US")</f>
        <v>AVNS-US</v>
      </c>
      <c r="C2147" s="12"/>
      <c r="D2147" s="13">
        <f>IFERROR(__xludf.DUMMYFUNCTION("""COMPUTED_VALUE"""),45524.0)</f>
        <v>45524</v>
      </c>
      <c r="E2147" s="13">
        <f>IFERROR(__xludf.DUMMYFUNCTION("""COMPUTED_VALUE"""),45771.0)</f>
        <v>45771</v>
      </c>
      <c r="F2147" s="13">
        <f>IFERROR(__xludf.DUMMYFUNCTION("""COMPUTED_VALUE"""),45771.0)</f>
        <v>45771</v>
      </c>
      <c r="G2147" s="12"/>
      <c r="H2147" s="12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</row>
    <row r="2148">
      <c r="A2148" s="11" t="str">
        <f>IFERROR(__xludf.DUMMYFUNCTION("""COMPUTED_VALUE"""),"Gorman Rupp Co  Com")</f>
        <v>Gorman Rupp Co  Com</v>
      </c>
      <c r="B2148" s="12" t="str">
        <f>IFERROR(__xludf.DUMMYFUNCTION("""COMPUTED_VALUE"""),"GRC-US")</f>
        <v>GRC-US</v>
      </c>
      <c r="C2148" s="12"/>
      <c r="D2148" s="13">
        <f>IFERROR(__xludf.DUMMYFUNCTION("""COMPUTED_VALUE"""),45524.0)</f>
        <v>45524</v>
      </c>
      <c r="E2148" s="13">
        <f>IFERROR(__xludf.DUMMYFUNCTION("""COMPUTED_VALUE"""),45771.0)</f>
        <v>45771</v>
      </c>
      <c r="F2148" s="13">
        <f>IFERROR(__xludf.DUMMYFUNCTION("""COMPUTED_VALUE"""),45771.0)</f>
        <v>45771</v>
      </c>
      <c r="G2148" s="12"/>
      <c r="H2148" s="12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</row>
    <row r="2149">
      <c r="A2149" s="11" t="str">
        <f>IFERROR(__xludf.DUMMYFUNCTION("""COMPUTED_VALUE"""),"Midwestone Financial Group Inc  Com")</f>
        <v>Midwestone Financial Group Inc  Com</v>
      </c>
      <c r="B2149" s="12" t="str">
        <f>IFERROR(__xludf.DUMMYFUNCTION("""COMPUTED_VALUE"""),"MOFG-US")</f>
        <v>MOFG-US</v>
      </c>
      <c r="C2149" s="12"/>
      <c r="D2149" s="13">
        <f>IFERROR(__xludf.DUMMYFUNCTION("""COMPUTED_VALUE"""),45525.0)</f>
        <v>45525</v>
      </c>
      <c r="E2149" s="13">
        <f>IFERROR(__xludf.DUMMYFUNCTION("""COMPUTED_VALUE"""),45769.0)</f>
        <v>45769</v>
      </c>
      <c r="F2149" s="13">
        <f>IFERROR(__xludf.DUMMYFUNCTION("""COMPUTED_VALUE"""),45769.0)</f>
        <v>45769</v>
      </c>
      <c r="G2149" s="12"/>
      <c r="H2149" s="12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</row>
    <row r="2150">
      <c r="A2150" s="11" t="str">
        <f>IFERROR(__xludf.DUMMYFUNCTION("""COMPUTED_VALUE"""),"Jeld Wen Holding Inc  Com")</f>
        <v>Jeld Wen Holding Inc  Com</v>
      </c>
      <c r="B2150" s="12" t="str">
        <f>IFERROR(__xludf.DUMMYFUNCTION("""COMPUTED_VALUE"""),"JELD-US")</f>
        <v>JELD-US</v>
      </c>
      <c r="C2150" s="12"/>
      <c r="D2150" s="13">
        <f>IFERROR(__xludf.DUMMYFUNCTION("""COMPUTED_VALUE"""),45525.0)</f>
        <v>45525</v>
      </c>
      <c r="E2150" s="13">
        <f>IFERROR(__xludf.DUMMYFUNCTION("""COMPUTED_VALUE"""),45771.0)</f>
        <v>45771</v>
      </c>
      <c r="F2150" s="13">
        <f>IFERROR(__xludf.DUMMYFUNCTION("""COMPUTED_VALUE"""),45771.0)</f>
        <v>45771</v>
      </c>
      <c r="G2150" s="12"/>
      <c r="H2150" s="12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</row>
    <row r="2151">
      <c r="A2151" s="11" t="str">
        <f>IFERROR(__xludf.DUMMYFUNCTION("""COMPUTED_VALUE"""),"Ryerson Holding Corp  Com")</f>
        <v>Ryerson Holding Corp  Com</v>
      </c>
      <c r="B2151" s="12" t="str">
        <f>IFERROR(__xludf.DUMMYFUNCTION("""COMPUTED_VALUE"""),"RYI-US")</f>
        <v>RYI-US</v>
      </c>
      <c r="C2151" s="12"/>
      <c r="D2151" s="13">
        <f>IFERROR(__xludf.DUMMYFUNCTION("""COMPUTED_VALUE"""),45526.0)</f>
        <v>45526</v>
      </c>
      <c r="E2151" s="13">
        <f>IFERROR(__xludf.DUMMYFUNCTION("""COMPUTED_VALUE"""),45764.0)</f>
        <v>45764</v>
      </c>
      <c r="F2151" s="13">
        <f>IFERROR(__xludf.DUMMYFUNCTION("""COMPUTED_VALUE"""),45764.0)</f>
        <v>45764</v>
      </c>
      <c r="G2151" s="12"/>
      <c r="H2151" s="12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</row>
    <row r="2152">
      <c r="A2152" s="11" t="str">
        <f>IFERROR(__xludf.DUMMYFUNCTION("""COMPUTED_VALUE"""),"Unity Bancorp Inc  Com")</f>
        <v>Unity Bancorp Inc  Com</v>
      </c>
      <c r="B2152" s="12" t="str">
        <f>IFERROR(__xludf.DUMMYFUNCTION("""COMPUTED_VALUE"""),"UNTY-US")</f>
        <v>UNTY-US</v>
      </c>
      <c r="C2152" s="12"/>
      <c r="D2152" s="13">
        <f>IFERROR(__xludf.DUMMYFUNCTION("""COMPUTED_VALUE"""),45526.0)</f>
        <v>45526</v>
      </c>
      <c r="E2152" s="13">
        <f>IFERROR(__xludf.DUMMYFUNCTION("""COMPUTED_VALUE"""),45771.0)</f>
        <v>45771</v>
      </c>
      <c r="F2152" s="13">
        <f>IFERROR(__xludf.DUMMYFUNCTION("""COMPUTED_VALUE"""),45771.0)</f>
        <v>45771</v>
      </c>
      <c r="G2152" s="12"/>
      <c r="H2152" s="12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</row>
    <row r="2153">
      <c r="A2153" s="11" t="str">
        <f>IFERROR(__xludf.DUMMYFUNCTION("""COMPUTED_VALUE"""),"West Bancorporation Inc  Cap Stk")</f>
        <v>West Bancorporation Inc  Cap Stk</v>
      </c>
      <c r="B2153" s="12" t="str">
        <f>IFERROR(__xludf.DUMMYFUNCTION("""COMPUTED_VALUE"""),"WTBA-US")</f>
        <v>WTBA-US</v>
      </c>
      <c r="C2153" s="12"/>
      <c r="D2153" s="13">
        <f>IFERROR(__xludf.DUMMYFUNCTION("""COMPUTED_VALUE"""),45527.0)</f>
        <v>45527</v>
      </c>
      <c r="E2153" s="13">
        <f>IFERROR(__xludf.DUMMYFUNCTION("""COMPUTED_VALUE"""),45771.0)</f>
        <v>45771</v>
      </c>
      <c r="F2153" s="13">
        <f>IFERROR(__xludf.DUMMYFUNCTION("""COMPUTED_VALUE"""),45771.0)</f>
        <v>45771</v>
      </c>
      <c r="G2153" s="12"/>
      <c r="H2153" s="12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</row>
    <row r="2154">
      <c r="A2154" s="11" t="str">
        <f>IFERROR(__xludf.DUMMYFUNCTION("""COMPUTED_VALUE"""),"Myers Industries Inc  Com")</f>
        <v>Myers Industries Inc  Com</v>
      </c>
      <c r="B2154" s="12" t="str">
        <f>IFERROR(__xludf.DUMMYFUNCTION("""COMPUTED_VALUE"""),"MYE-US")</f>
        <v>MYE-US</v>
      </c>
      <c r="C2154" s="12"/>
      <c r="D2154" s="13">
        <f>IFERROR(__xludf.DUMMYFUNCTION("""COMPUTED_VALUE"""),45531.0)</f>
        <v>45531</v>
      </c>
      <c r="E2154" s="13">
        <f>IFERROR(__xludf.DUMMYFUNCTION("""COMPUTED_VALUE"""),45771.0)</f>
        <v>45771</v>
      </c>
      <c r="F2154" s="13">
        <f>IFERROR(__xludf.DUMMYFUNCTION("""COMPUTED_VALUE"""),45771.0)</f>
        <v>45771</v>
      </c>
      <c r="G2154" s="12"/>
      <c r="H2154" s="12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</row>
    <row r="2155">
      <c r="A2155" s="11" t="str">
        <f>IFERROR(__xludf.DUMMYFUNCTION("""COMPUTED_VALUE"""),"Citizens &amp; Northern Corp  Com")</f>
        <v>Citizens &amp; Northern Corp  Com</v>
      </c>
      <c r="B2155" s="12" t="str">
        <f>IFERROR(__xludf.DUMMYFUNCTION("""COMPUTED_VALUE"""),"CZNC-US")</f>
        <v>CZNC-US</v>
      </c>
      <c r="C2155" s="12"/>
      <c r="D2155" s="13">
        <f>IFERROR(__xludf.DUMMYFUNCTION("""COMPUTED_VALUE"""),45531.0)</f>
        <v>45531</v>
      </c>
      <c r="E2155" s="13">
        <f>IFERROR(__xludf.DUMMYFUNCTION("""COMPUTED_VALUE"""),45771.0)</f>
        <v>45771</v>
      </c>
      <c r="F2155" s="13">
        <f>IFERROR(__xludf.DUMMYFUNCTION("""COMPUTED_VALUE"""),45771.0)</f>
        <v>45771</v>
      </c>
      <c r="G2155" s="12"/>
      <c r="H2155" s="12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</row>
    <row r="2156">
      <c r="A2156" s="11" t="str">
        <f>IFERROR(__xludf.DUMMYFUNCTION("""COMPUTED_VALUE"""),"Bcb Bancorp Inc  Com")</f>
        <v>Bcb Bancorp Inc  Com</v>
      </c>
      <c r="B2156" s="12" t="str">
        <f>IFERROR(__xludf.DUMMYFUNCTION("""COMPUTED_VALUE"""),"BCBP-US")</f>
        <v>BCBP-US</v>
      </c>
      <c r="C2156" s="12"/>
      <c r="D2156" s="13">
        <f>IFERROR(__xludf.DUMMYFUNCTION("""COMPUTED_VALUE"""),45531.0)</f>
        <v>45531</v>
      </c>
      <c r="E2156" s="13">
        <f>IFERROR(__xludf.DUMMYFUNCTION("""COMPUTED_VALUE"""),45771.0)</f>
        <v>45771</v>
      </c>
      <c r="F2156" s="13">
        <f>IFERROR(__xludf.DUMMYFUNCTION("""COMPUTED_VALUE"""),45771.0)</f>
        <v>45771</v>
      </c>
      <c r="G2156" s="12"/>
      <c r="H2156" s="12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</row>
    <row r="2157">
      <c r="A2157" s="11" t="str">
        <f>IFERROR(__xludf.DUMMYFUNCTION("""COMPUTED_VALUE"""),"Bank Of America Corp  Com")</f>
        <v>Bank Of America Corp  Com</v>
      </c>
      <c r="B2157" s="12" t="str">
        <f>IFERROR(__xludf.DUMMYFUNCTION("""COMPUTED_VALUE"""),"BAC-US")</f>
        <v>BAC-US</v>
      </c>
      <c r="C2157" s="12"/>
      <c r="D2157" s="13">
        <f>IFERROR(__xludf.DUMMYFUNCTION("""COMPUTED_VALUE"""),45532.0)</f>
        <v>45532</v>
      </c>
      <c r="E2157" s="13">
        <f>IFERROR(__xludf.DUMMYFUNCTION("""COMPUTED_VALUE"""),45769.0)</f>
        <v>45769</v>
      </c>
      <c r="F2157" s="13">
        <f>IFERROR(__xludf.DUMMYFUNCTION("""COMPUTED_VALUE"""),45769.0)</f>
        <v>45769</v>
      </c>
      <c r="G2157" s="12"/>
      <c r="H2157" s="12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</row>
    <row r="2158">
      <c r="A2158" s="11" t="str">
        <f>IFERROR(__xludf.DUMMYFUNCTION("""COMPUTED_VALUE"""),"Goldman Sachs Group Inc  Com")</f>
        <v>Goldman Sachs Group Inc  Com</v>
      </c>
      <c r="B2158" s="12" t="str">
        <f>IFERROR(__xludf.DUMMYFUNCTION("""COMPUTED_VALUE"""),"GS-US")</f>
        <v>GS-US</v>
      </c>
      <c r="C2158" s="12"/>
      <c r="D2158" s="13">
        <f>IFERROR(__xludf.DUMMYFUNCTION("""COMPUTED_VALUE"""),45532.0)</f>
        <v>45532</v>
      </c>
      <c r="E2158" s="13">
        <f>IFERROR(__xludf.DUMMYFUNCTION("""COMPUTED_VALUE"""),45770.0)</f>
        <v>45770</v>
      </c>
      <c r="F2158" s="13">
        <f>IFERROR(__xludf.DUMMYFUNCTION("""COMPUTED_VALUE"""),45770.0)</f>
        <v>45770</v>
      </c>
      <c r="G2158" s="12"/>
      <c r="H2158" s="12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</row>
    <row r="2159">
      <c r="A2159" s="11" t="str">
        <f>IFERROR(__xludf.DUMMYFUNCTION("""COMPUTED_VALUE"""),"Eaton Corp Plc  Com")</f>
        <v>Eaton Corp Plc  Com</v>
      </c>
      <c r="B2159" s="12" t="str">
        <f>IFERROR(__xludf.DUMMYFUNCTION("""COMPUTED_VALUE"""),"ETN-US")</f>
        <v>ETN-US</v>
      </c>
      <c r="C2159" s="12"/>
      <c r="D2159" s="13">
        <f>IFERROR(__xludf.DUMMYFUNCTION("""COMPUTED_VALUE"""),45532.0)</f>
        <v>45532</v>
      </c>
      <c r="E2159" s="13">
        <f>IFERROR(__xludf.DUMMYFUNCTION("""COMPUTED_VALUE"""),45770.0)</f>
        <v>45770</v>
      </c>
      <c r="F2159" s="13">
        <f>IFERROR(__xludf.DUMMYFUNCTION("""COMPUTED_VALUE"""),45770.0)</f>
        <v>45770</v>
      </c>
      <c r="G2159" s="12"/>
      <c r="H2159" s="12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</row>
    <row r="2160">
      <c r="A2160" s="11" t="str">
        <f>IFERROR(__xludf.DUMMYFUNCTION("""COMPUTED_VALUE"""),"Pnc Financial Services Group  Com")</f>
        <v>Pnc Financial Services Group  Com</v>
      </c>
      <c r="B2160" s="12" t="str">
        <f>IFERROR(__xludf.DUMMYFUNCTION("""COMPUTED_VALUE"""),"PNC-US")</f>
        <v>PNC-US</v>
      </c>
      <c r="C2160" s="12"/>
      <c r="D2160" s="13">
        <f>IFERROR(__xludf.DUMMYFUNCTION("""COMPUTED_VALUE"""),45533.0)</f>
        <v>45533</v>
      </c>
      <c r="E2160" s="13">
        <f>IFERROR(__xludf.DUMMYFUNCTION("""COMPUTED_VALUE"""),45770.0)</f>
        <v>45770</v>
      </c>
      <c r="F2160" s="13">
        <f>IFERROR(__xludf.DUMMYFUNCTION("""COMPUTED_VALUE"""),45770.0)</f>
        <v>45770</v>
      </c>
      <c r="G2160" s="12"/>
      <c r="H2160" s="12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</row>
    <row r="2161">
      <c r="A2161" s="11" t="str">
        <f>IFERROR(__xludf.DUMMYFUNCTION("""COMPUTED_VALUE"""),"Cigna Group  Com")</f>
        <v>Cigna Group  Com</v>
      </c>
      <c r="B2161" s="12" t="str">
        <f>IFERROR(__xludf.DUMMYFUNCTION("""COMPUTED_VALUE"""),"CI-US")</f>
        <v>CI-US</v>
      </c>
      <c r="C2161" s="12"/>
      <c r="D2161" s="13">
        <f>IFERROR(__xludf.DUMMYFUNCTION("""COMPUTED_VALUE"""),45534.0)</f>
        <v>45534</v>
      </c>
      <c r="E2161" s="13">
        <f>IFERROR(__xludf.DUMMYFUNCTION("""COMPUTED_VALUE"""),45770.0)</f>
        <v>45770</v>
      </c>
      <c r="F2161" s="13">
        <f>IFERROR(__xludf.DUMMYFUNCTION("""COMPUTED_VALUE"""),45770.0)</f>
        <v>45770</v>
      </c>
      <c r="G2161" s="12"/>
      <c r="H2161" s="12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</row>
    <row r="2162">
      <c r="A2162" s="11" t="str">
        <f>IFERROR(__xludf.DUMMYFUNCTION("""COMPUTED_VALUE"""),"Ameriprise Financial Inc  Com")</f>
        <v>Ameriprise Financial Inc  Com</v>
      </c>
      <c r="B2162" s="12" t="str">
        <f>IFERROR(__xludf.DUMMYFUNCTION("""COMPUTED_VALUE"""),"AMP-US")</f>
        <v>AMP-US</v>
      </c>
      <c r="C2162" s="12"/>
      <c r="D2162" s="13">
        <f>IFERROR(__xludf.DUMMYFUNCTION("""COMPUTED_VALUE"""),45534.0)</f>
        <v>45534</v>
      </c>
      <c r="E2162" s="13">
        <f>IFERROR(__xludf.DUMMYFUNCTION("""COMPUTED_VALUE"""),45777.0)</f>
        <v>45777</v>
      </c>
      <c r="F2162" s="13">
        <f>IFERROR(__xludf.DUMMYFUNCTION("""COMPUTED_VALUE"""),45777.0)</f>
        <v>45777</v>
      </c>
      <c r="G2162" s="12"/>
      <c r="H2162" s="12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</row>
    <row r="2163">
      <c r="A2163" s="11" t="str">
        <f>IFERROR(__xludf.DUMMYFUNCTION("""COMPUTED_VALUE"""),"Marathon Petroleum Corp  Com")</f>
        <v>Marathon Petroleum Corp  Com</v>
      </c>
      <c r="B2163" s="12" t="str">
        <f>IFERROR(__xludf.DUMMYFUNCTION("""COMPUTED_VALUE"""),"MPC-US")</f>
        <v>MPC-US</v>
      </c>
      <c r="C2163" s="12"/>
      <c r="D2163" s="13">
        <f>IFERROR(__xludf.DUMMYFUNCTION("""COMPUTED_VALUE"""),45538.0)</f>
        <v>45538</v>
      </c>
      <c r="E2163" s="13">
        <f>IFERROR(__xludf.DUMMYFUNCTION("""COMPUTED_VALUE"""),45777.0)</f>
        <v>45777</v>
      </c>
      <c r="F2163" s="13">
        <f>IFERROR(__xludf.DUMMYFUNCTION("""COMPUTED_VALUE"""),45777.0)</f>
        <v>45777</v>
      </c>
      <c r="G2163" s="12"/>
      <c r="H2163" s="12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</row>
    <row r="2164">
      <c r="A2164" s="11" t="str">
        <f>IFERROR(__xludf.DUMMYFUNCTION("""COMPUTED_VALUE"""),"W W Grainger Inc  Com")</f>
        <v>W W Grainger Inc  Com</v>
      </c>
      <c r="B2164" s="12" t="str">
        <f>IFERROR(__xludf.DUMMYFUNCTION("""COMPUTED_VALUE"""),"GWW-US")</f>
        <v>GWW-US</v>
      </c>
      <c r="C2164" s="12"/>
      <c r="D2164" s="13">
        <f>IFERROR(__xludf.DUMMYFUNCTION("""COMPUTED_VALUE"""),45539.0)</f>
        <v>45539</v>
      </c>
      <c r="E2164" s="13">
        <f>IFERROR(__xludf.DUMMYFUNCTION("""COMPUTED_VALUE"""),45777.0)</f>
        <v>45777</v>
      </c>
      <c r="F2164" s="13">
        <f>IFERROR(__xludf.DUMMYFUNCTION("""COMPUTED_VALUE"""),45777.0)</f>
        <v>45777</v>
      </c>
      <c r="G2164" s="12"/>
      <c r="H2164" s="12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</row>
    <row r="2165">
      <c r="A2165" s="11" t="str">
        <f>IFERROR(__xludf.DUMMYFUNCTION("""COMPUTED_VALUE"""),"Newmont Corp  Com")</f>
        <v>Newmont Corp  Com</v>
      </c>
      <c r="B2165" s="12" t="str">
        <f>IFERROR(__xludf.DUMMYFUNCTION("""COMPUTED_VALUE"""),"NEM-US")</f>
        <v>NEM-US</v>
      </c>
      <c r="C2165" s="12"/>
      <c r="D2165" s="13">
        <f>IFERROR(__xludf.DUMMYFUNCTION("""COMPUTED_VALUE"""),45539.0)</f>
        <v>45539</v>
      </c>
      <c r="E2165" s="13">
        <f>IFERROR(__xludf.DUMMYFUNCTION("""COMPUTED_VALUE"""),45777.0)</f>
        <v>45777</v>
      </c>
      <c r="F2165" s="13">
        <f>IFERROR(__xludf.DUMMYFUNCTION("""COMPUTED_VALUE"""),45777.0)</f>
        <v>45777</v>
      </c>
      <c r="G2165" s="12"/>
      <c r="H2165" s="12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</row>
    <row r="2166">
      <c r="A2166" s="11" t="str">
        <f>IFERROR(__xludf.DUMMYFUNCTION("""COMPUTED_VALUE"""),"Teledyne Technologies Inc  Com")</f>
        <v>Teledyne Technologies Inc  Com</v>
      </c>
      <c r="B2166" s="12" t="str">
        <f>IFERROR(__xludf.DUMMYFUNCTION("""COMPUTED_VALUE"""),"TDY-US")</f>
        <v>TDY-US</v>
      </c>
      <c r="C2166" s="12"/>
      <c r="D2166" s="13">
        <f>IFERROR(__xludf.DUMMYFUNCTION("""COMPUTED_VALUE"""),45539.0)</f>
        <v>45539</v>
      </c>
      <c r="E2166" s="13">
        <f>IFERROR(__xludf.DUMMYFUNCTION("""COMPUTED_VALUE"""),45770.0)</f>
        <v>45770</v>
      </c>
      <c r="F2166" s="13">
        <f>IFERROR(__xludf.DUMMYFUNCTION("""COMPUTED_VALUE"""),45770.0)</f>
        <v>45770</v>
      </c>
      <c r="G2166" s="12"/>
      <c r="H2166" s="12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</row>
    <row r="2167">
      <c r="A2167" s="11" t="str">
        <f>IFERROR(__xludf.DUMMYFUNCTION("""COMPUTED_VALUE"""),"Ball Corp  Com")</f>
        <v>Ball Corp  Com</v>
      </c>
      <c r="B2167" s="12" t="str">
        <f>IFERROR(__xludf.DUMMYFUNCTION("""COMPUTED_VALUE"""),"BALL-US")</f>
        <v>BALL-US</v>
      </c>
      <c r="C2167" s="12"/>
      <c r="D2167" s="13">
        <f>IFERROR(__xludf.DUMMYFUNCTION("""COMPUTED_VALUE"""),45539.0)</f>
        <v>45539</v>
      </c>
      <c r="E2167" s="13">
        <f>IFERROR(__xludf.DUMMYFUNCTION("""COMPUTED_VALUE"""),45777.0)</f>
        <v>45777</v>
      </c>
      <c r="F2167" s="13">
        <f>IFERROR(__xludf.DUMMYFUNCTION("""COMPUTED_VALUE"""),45777.0)</f>
        <v>45777</v>
      </c>
      <c r="G2167" s="12"/>
      <c r="H2167" s="12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</row>
    <row r="2168">
      <c r="A2168" s="11" t="str">
        <f>IFERROR(__xludf.DUMMYFUNCTION("""COMPUTED_VALUE"""),"Entegris Inc  Com")</f>
        <v>Entegris Inc  Com</v>
      </c>
      <c r="B2168" s="12" t="str">
        <f>IFERROR(__xludf.DUMMYFUNCTION("""COMPUTED_VALUE"""),"ENTG-US")</f>
        <v>ENTG-US</v>
      </c>
      <c r="C2168" s="12"/>
      <c r="D2168" s="13">
        <f>IFERROR(__xludf.DUMMYFUNCTION("""COMPUTED_VALUE"""),45539.0)</f>
        <v>45539</v>
      </c>
      <c r="E2168" s="13">
        <f>IFERROR(__xludf.DUMMYFUNCTION("""COMPUTED_VALUE"""),45770.0)</f>
        <v>45770</v>
      </c>
      <c r="F2168" s="13">
        <f>IFERROR(__xludf.DUMMYFUNCTION("""COMPUTED_VALUE"""),45770.0)</f>
        <v>45770</v>
      </c>
      <c r="G2168" s="12"/>
      <c r="H2168" s="12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</row>
    <row r="2169">
      <c r="A2169" s="11" t="str">
        <f>IFERROR(__xludf.DUMMYFUNCTION("""COMPUTED_VALUE"""),"Textron Inc  Com")</f>
        <v>Textron Inc  Com</v>
      </c>
      <c r="B2169" s="12" t="str">
        <f>IFERROR(__xludf.DUMMYFUNCTION("""COMPUTED_VALUE"""),"TXT-US")</f>
        <v>TXT-US</v>
      </c>
      <c r="C2169" s="12"/>
      <c r="D2169" s="13">
        <f>IFERROR(__xludf.DUMMYFUNCTION("""COMPUTED_VALUE"""),45540.0)</f>
        <v>45540</v>
      </c>
      <c r="E2169" s="13">
        <f>IFERROR(__xludf.DUMMYFUNCTION("""COMPUTED_VALUE"""),45770.0)</f>
        <v>45770</v>
      </c>
      <c r="F2169" s="13">
        <f>IFERROR(__xludf.DUMMYFUNCTION("""COMPUTED_VALUE"""),45770.0)</f>
        <v>45770</v>
      </c>
      <c r="G2169" s="12"/>
      <c r="H2169" s="12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</row>
    <row r="2170">
      <c r="A2170" s="11" t="str">
        <f>IFERROR(__xludf.DUMMYFUNCTION("""COMPUTED_VALUE"""),"Webster Financial Corp  Com")</f>
        <v>Webster Financial Corp  Com</v>
      </c>
      <c r="B2170" s="12" t="str">
        <f>IFERROR(__xludf.DUMMYFUNCTION("""COMPUTED_VALUE"""),"WBS-US")</f>
        <v>WBS-US</v>
      </c>
      <c r="C2170" s="12"/>
      <c r="D2170" s="13">
        <f>IFERROR(__xludf.DUMMYFUNCTION("""COMPUTED_VALUE"""),45540.0)</f>
        <v>45540</v>
      </c>
      <c r="E2170" s="13">
        <f>IFERROR(__xludf.DUMMYFUNCTION("""COMPUTED_VALUE"""),45798.0)</f>
        <v>45798</v>
      </c>
      <c r="F2170" s="13">
        <f>IFERROR(__xludf.DUMMYFUNCTION("""COMPUTED_VALUE"""),45798.0)</f>
        <v>45798</v>
      </c>
      <c r="G2170" s="12"/>
      <c r="H2170" s="12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</row>
    <row r="2171">
      <c r="A2171" s="11" t="str">
        <f>IFERROR(__xludf.DUMMYFUNCTION("""COMPUTED_VALUE"""),"New York Times Co  Cl A")</f>
        <v>New York Times Co  Cl A</v>
      </c>
      <c r="B2171" s="12" t="str">
        <f>IFERROR(__xludf.DUMMYFUNCTION("""COMPUTED_VALUE"""),"NYT-US")</f>
        <v>NYT-US</v>
      </c>
      <c r="C2171" s="12"/>
      <c r="D2171" s="13">
        <f>IFERROR(__xludf.DUMMYFUNCTION("""COMPUTED_VALUE"""),45540.0)</f>
        <v>45540</v>
      </c>
      <c r="E2171" s="13">
        <f>IFERROR(__xludf.DUMMYFUNCTION("""COMPUTED_VALUE"""),45777.0)</f>
        <v>45777</v>
      </c>
      <c r="F2171" s="13">
        <f>IFERROR(__xludf.DUMMYFUNCTION("""COMPUTED_VALUE"""),45777.0)</f>
        <v>45777</v>
      </c>
      <c r="G2171" s="12"/>
      <c r="H2171" s="12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</row>
    <row r="2172">
      <c r="A2172" s="11" t="str">
        <f>IFERROR(__xludf.DUMMYFUNCTION("""COMPUTED_VALUE"""),"Cullen Frost Bankers Inc  Com")</f>
        <v>Cullen Frost Bankers Inc  Com</v>
      </c>
      <c r="B2172" s="12" t="str">
        <f>IFERROR(__xludf.DUMMYFUNCTION("""COMPUTED_VALUE"""),"CFR-US")</f>
        <v>CFR-US</v>
      </c>
      <c r="C2172" s="12"/>
      <c r="D2172" s="13">
        <f>IFERROR(__xludf.DUMMYFUNCTION("""COMPUTED_VALUE"""),45544.0)</f>
        <v>45544</v>
      </c>
      <c r="E2172" s="13">
        <f>IFERROR(__xludf.DUMMYFUNCTION("""COMPUTED_VALUE"""),45777.0)</f>
        <v>45777</v>
      </c>
      <c r="F2172" s="13">
        <f>IFERROR(__xludf.DUMMYFUNCTION("""COMPUTED_VALUE"""),45777.0)</f>
        <v>45777</v>
      </c>
      <c r="G2172" s="12"/>
      <c r="H2172" s="12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</row>
    <row r="2173">
      <c r="A2173" s="11" t="str">
        <f>IFERROR(__xludf.DUMMYFUNCTION("""COMPUTED_VALUE"""),"Southstate Corp  Com")</f>
        <v>Southstate Corp  Com</v>
      </c>
      <c r="B2173" s="12" t="str">
        <f>IFERROR(__xludf.DUMMYFUNCTION("""COMPUTED_VALUE"""),"SSB-US")</f>
        <v>SSB-US</v>
      </c>
      <c r="C2173" s="12"/>
      <c r="D2173" s="13">
        <f>IFERROR(__xludf.DUMMYFUNCTION("""COMPUTED_VALUE"""),45545.0)</f>
        <v>45545</v>
      </c>
      <c r="E2173" s="13">
        <f>IFERROR(__xludf.DUMMYFUNCTION("""COMPUTED_VALUE"""),45770.0)</f>
        <v>45770</v>
      </c>
      <c r="F2173" s="13">
        <f>IFERROR(__xludf.DUMMYFUNCTION("""COMPUTED_VALUE"""),45770.0)</f>
        <v>45770</v>
      </c>
      <c r="G2173" s="12"/>
      <c r="H2173" s="12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</row>
    <row r="2174">
      <c r="A2174" s="11" t="str">
        <f>IFERROR(__xludf.DUMMYFUNCTION("""COMPUTED_VALUE"""),"Borgwarner Inc  Com")</f>
        <v>Borgwarner Inc  Com</v>
      </c>
      <c r="B2174" s="12" t="str">
        <f>IFERROR(__xludf.DUMMYFUNCTION("""COMPUTED_VALUE"""),"BWA-US")</f>
        <v>BWA-US</v>
      </c>
      <c r="C2174" s="12"/>
      <c r="D2174" s="13">
        <f>IFERROR(__xludf.DUMMYFUNCTION("""COMPUTED_VALUE"""),45545.0)</f>
        <v>45545</v>
      </c>
      <c r="E2174" s="13">
        <f>IFERROR(__xludf.DUMMYFUNCTION("""COMPUTED_VALUE"""),45777.0)</f>
        <v>45777</v>
      </c>
      <c r="F2174" s="13">
        <f>IFERROR(__xludf.DUMMYFUNCTION("""COMPUTED_VALUE"""),45777.0)</f>
        <v>45777</v>
      </c>
      <c r="G2174" s="12"/>
      <c r="H2174" s="12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</row>
    <row r="2175">
      <c r="A2175" s="11" t="str">
        <f>IFERROR(__xludf.DUMMYFUNCTION("""COMPUTED_VALUE"""),"Synovus Financial Corp  Com")</f>
        <v>Synovus Financial Corp  Com</v>
      </c>
      <c r="B2175" s="12" t="str">
        <f>IFERROR(__xludf.DUMMYFUNCTION("""COMPUTED_VALUE"""),"SNV-US")</f>
        <v>SNV-US</v>
      </c>
      <c r="C2175" s="12"/>
      <c r="D2175" s="13">
        <f>IFERROR(__xludf.DUMMYFUNCTION("""COMPUTED_VALUE"""),45545.0)</f>
        <v>45545</v>
      </c>
      <c r="E2175" s="13">
        <f>IFERROR(__xludf.DUMMYFUNCTION("""COMPUTED_VALUE"""),45771.0)</f>
        <v>45771</v>
      </c>
      <c r="F2175" s="13">
        <f>IFERROR(__xludf.DUMMYFUNCTION("""COMPUTED_VALUE"""),45771.0)</f>
        <v>45771</v>
      </c>
      <c r="G2175" s="12"/>
      <c r="H2175" s="12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</row>
    <row r="2176">
      <c r="A2176" s="11" t="str">
        <f>IFERROR(__xludf.DUMMYFUNCTION("""COMPUTED_VALUE"""),"Ufp Industries Inc Com")</f>
        <v>Ufp Industries Inc Com</v>
      </c>
      <c r="B2176" s="12" t="str">
        <f>IFERROR(__xludf.DUMMYFUNCTION("""COMPUTED_VALUE"""),"UFPI-US")</f>
        <v>UFPI-US</v>
      </c>
      <c r="C2176" s="12"/>
      <c r="D2176" s="13">
        <f>IFERROR(__xludf.DUMMYFUNCTION("""COMPUTED_VALUE"""),45545.0)</f>
        <v>45545</v>
      </c>
      <c r="E2176" s="13">
        <f>IFERROR(__xludf.DUMMYFUNCTION("""COMPUTED_VALUE"""),45770.0)</f>
        <v>45770</v>
      </c>
      <c r="F2176" s="13">
        <f>IFERROR(__xludf.DUMMYFUNCTION("""COMPUTED_VALUE"""),45770.0)</f>
        <v>45770</v>
      </c>
      <c r="G2176" s="12"/>
      <c r="H2176" s="12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</row>
    <row r="2177">
      <c r="A2177" s="11" t="str">
        <f>IFERROR(__xludf.DUMMYFUNCTION("""COMPUTED_VALUE"""),"Glacier Bancorp Inc  Com")</f>
        <v>Glacier Bancorp Inc  Com</v>
      </c>
      <c r="B2177" s="12" t="str">
        <f>IFERROR(__xludf.DUMMYFUNCTION("""COMPUTED_VALUE"""),"GBCI-US")</f>
        <v>GBCI-US</v>
      </c>
      <c r="C2177" s="12"/>
      <c r="D2177" s="13">
        <f>IFERROR(__xludf.DUMMYFUNCTION("""COMPUTED_VALUE"""),45545.0)</f>
        <v>45545</v>
      </c>
      <c r="E2177" s="13">
        <f>IFERROR(__xludf.DUMMYFUNCTION("""COMPUTED_VALUE"""),45777.0)</f>
        <v>45777</v>
      </c>
      <c r="F2177" s="13">
        <f>IFERROR(__xludf.DUMMYFUNCTION("""COMPUTED_VALUE"""),45777.0)</f>
        <v>45777</v>
      </c>
      <c r="G2177" s="12"/>
      <c r="H2177" s="12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</row>
    <row r="2178">
      <c r="A2178" s="11" t="str">
        <f>IFERROR(__xludf.DUMMYFUNCTION("""COMPUTED_VALUE"""),"Hancock Whitney Corp  Com")</f>
        <v>Hancock Whitney Corp  Com</v>
      </c>
      <c r="B2178" s="12" t="str">
        <f>IFERROR(__xludf.DUMMYFUNCTION("""COMPUTED_VALUE"""),"HWC-US")</f>
        <v>HWC-US</v>
      </c>
      <c r="C2178" s="12"/>
      <c r="D2178" s="13">
        <f>IFERROR(__xludf.DUMMYFUNCTION("""COMPUTED_VALUE"""),45546.0)</f>
        <v>45546</v>
      </c>
      <c r="E2178" s="13">
        <f>IFERROR(__xludf.DUMMYFUNCTION("""COMPUTED_VALUE"""),45770.0)</f>
        <v>45770</v>
      </c>
      <c r="F2178" s="13">
        <f>IFERROR(__xludf.DUMMYFUNCTION("""COMPUTED_VALUE"""),45770.0)</f>
        <v>45770</v>
      </c>
      <c r="G2178" s="12"/>
      <c r="H2178" s="12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</row>
    <row r="2179">
      <c r="A2179" s="11" t="str">
        <f>IFERROR(__xludf.DUMMYFUNCTION("""COMPUTED_VALUE"""),"Autonation Inc  Com")</f>
        <v>Autonation Inc  Com</v>
      </c>
      <c r="B2179" s="12" t="str">
        <f>IFERROR(__xludf.DUMMYFUNCTION("""COMPUTED_VALUE"""),"AN-US")</f>
        <v>AN-US</v>
      </c>
      <c r="C2179" s="12"/>
      <c r="D2179" s="13">
        <f>IFERROR(__xludf.DUMMYFUNCTION("""COMPUTED_VALUE"""),45546.0)</f>
        <v>45546</v>
      </c>
      <c r="E2179" s="13">
        <f>IFERROR(__xludf.DUMMYFUNCTION("""COMPUTED_VALUE"""),45770.0)</f>
        <v>45770</v>
      </c>
      <c r="F2179" s="13">
        <f>IFERROR(__xludf.DUMMYFUNCTION("""COMPUTED_VALUE"""),45770.0)</f>
        <v>45770</v>
      </c>
      <c r="G2179" s="12"/>
      <c r="H2179" s="12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</row>
    <row r="2180">
      <c r="A2180" s="11" t="str">
        <f>IFERROR(__xludf.DUMMYFUNCTION("""COMPUTED_VALUE"""),"Spirit Aerosystems Holdings  Cl A")</f>
        <v>Spirit Aerosystems Holdings  Cl A</v>
      </c>
      <c r="B2180" s="12" t="str">
        <f>IFERROR(__xludf.DUMMYFUNCTION("""COMPUTED_VALUE"""),"SPR-US")</f>
        <v>SPR-US</v>
      </c>
      <c r="C2180" s="12"/>
      <c r="D2180" s="13">
        <f>IFERROR(__xludf.DUMMYFUNCTION("""COMPUTED_VALUE"""),45546.0)</f>
        <v>45546</v>
      </c>
      <c r="E2180" s="13">
        <f>IFERROR(__xludf.DUMMYFUNCTION("""COMPUTED_VALUE"""),45800.0)</f>
        <v>45800</v>
      </c>
      <c r="F2180" s="13">
        <f>IFERROR(__xludf.DUMMYFUNCTION("""COMPUTED_VALUE"""),45800.0)</f>
        <v>45800</v>
      </c>
      <c r="G2180" s="12"/>
      <c r="H2180" s="12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</row>
    <row r="2181">
      <c r="A2181" s="11" t="str">
        <f>IFERROR(__xludf.DUMMYFUNCTION("""COMPUTED_VALUE"""),"First Hawaiian Inc  Com")</f>
        <v>First Hawaiian Inc  Com</v>
      </c>
      <c r="B2181" s="12" t="str">
        <f>IFERROR(__xludf.DUMMYFUNCTION("""COMPUTED_VALUE"""),"FHB-US")</f>
        <v>FHB-US</v>
      </c>
      <c r="C2181" s="12"/>
      <c r="D2181" s="13">
        <f>IFERROR(__xludf.DUMMYFUNCTION("""COMPUTED_VALUE"""),45547.0)</f>
        <v>45547</v>
      </c>
      <c r="E2181" s="13">
        <f>IFERROR(__xludf.DUMMYFUNCTION("""COMPUTED_VALUE"""),45769.0)</f>
        <v>45769</v>
      </c>
      <c r="F2181" s="13">
        <f>IFERROR(__xludf.DUMMYFUNCTION("""COMPUTED_VALUE"""),45769.0)</f>
        <v>45769</v>
      </c>
      <c r="G2181" s="12"/>
      <c r="H2181" s="12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</row>
    <row r="2182">
      <c r="A2182" s="11" t="str">
        <f>IFERROR(__xludf.DUMMYFUNCTION("""COMPUTED_VALUE"""),"Tegna Inc  Com")</f>
        <v>Tegna Inc  Com</v>
      </c>
      <c r="B2182" s="12" t="str">
        <f>IFERROR(__xludf.DUMMYFUNCTION("""COMPUTED_VALUE"""),"TGNA-US")</f>
        <v>TGNA-US</v>
      </c>
      <c r="C2182" s="12"/>
      <c r="D2182" s="13">
        <f>IFERROR(__xludf.DUMMYFUNCTION("""COMPUTED_VALUE"""),45547.0)</f>
        <v>45547</v>
      </c>
      <c r="E2182" s="13">
        <f>IFERROR(__xludf.DUMMYFUNCTION("""COMPUTED_VALUE"""),45798.0)</f>
        <v>45798</v>
      </c>
      <c r="F2182" s="13">
        <f>IFERROR(__xludf.DUMMYFUNCTION("""COMPUTED_VALUE"""),45798.0)</f>
        <v>45798</v>
      </c>
      <c r="G2182" s="12"/>
      <c r="H2182" s="12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</row>
    <row r="2183">
      <c r="A2183" s="11" t="str">
        <f>IFERROR(__xludf.DUMMYFUNCTION("""COMPUTED_VALUE"""),"Myr Group Inc  Com")</f>
        <v>Myr Group Inc  Com</v>
      </c>
      <c r="B2183" s="12" t="str">
        <f>IFERROR(__xludf.DUMMYFUNCTION("""COMPUTED_VALUE"""),"MYRG-US")</f>
        <v>MYRG-US</v>
      </c>
      <c r="C2183" s="12"/>
      <c r="D2183" s="13">
        <f>IFERROR(__xludf.DUMMYFUNCTION("""COMPUTED_VALUE"""),45547.0)</f>
        <v>45547</v>
      </c>
      <c r="E2183" s="13">
        <f>IFERROR(__xludf.DUMMYFUNCTION("""COMPUTED_VALUE"""),45771.0)</f>
        <v>45771</v>
      </c>
      <c r="F2183" s="13">
        <f>IFERROR(__xludf.DUMMYFUNCTION("""COMPUTED_VALUE"""),45771.0)</f>
        <v>45771</v>
      </c>
      <c r="G2183" s="12"/>
      <c r="H2183" s="12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</row>
    <row r="2184">
      <c r="A2184" s="11" t="str">
        <f>IFERROR(__xludf.DUMMYFUNCTION("""COMPUTED_VALUE"""),"Strategic Education Inc  Com")</f>
        <v>Strategic Education Inc  Com</v>
      </c>
      <c r="B2184" s="12" t="str">
        <f>IFERROR(__xludf.DUMMYFUNCTION("""COMPUTED_VALUE"""),"STRA-US")</f>
        <v>STRA-US</v>
      </c>
      <c r="C2184" s="12"/>
      <c r="D2184" s="13">
        <f>IFERROR(__xludf.DUMMYFUNCTION("""COMPUTED_VALUE"""),45551.0)</f>
        <v>45551</v>
      </c>
      <c r="E2184" s="13">
        <f>IFERROR(__xludf.DUMMYFUNCTION("""COMPUTED_VALUE"""),45770.0)</f>
        <v>45770</v>
      </c>
      <c r="F2184" s="13">
        <f>IFERROR(__xludf.DUMMYFUNCTION("""COMPUTED_VALUE"""),45770.0)</f>
        <v>45770</v>
      </c>
      <c r="G2184" s="12"/>
      <c r="H2184" s="12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</row>
    <row r="2185">
      <c r="A2185" s="11" t="str">
        <f>IFERROR(__xludf.DUMMYFUNCTION("""COMPUTED_VALUE"""),"City Holding Co  Com")</f>
        <v>City Holding Co  Com</v>
      </c>
      <c r="B2185" s="12" t="str">
        <f>IFERROR(__xludf.DUMMYFUNCTION("""COMPUTED_VALUE"""),"CHCO-US")</f>
        <v>CHCO-US</v>
      </c>
      <c r="C2185" s="12"/>
      <c r="D2185" s="13">
        <f>IFERROR(__xludf.DUMMYFUNCTION("""COMPUTED_VALUE"""),45551.0)</f>
        <v>45551</v>
      </c>
      <c r="E2185" s="13">
        <f>IFERROR(__xludf.DUMMYFUNCTION("""COMPUTED_VALUE"""),45777.0)</f>
        <v>45777</v>
      </c>
      <c r="F2185" s="13">
        <f>IFERROR(__xludf.DUMMYFUNCTION("""COMPUTED_VALUE"""),45777.0)</f>
        <v>45777</v>
      </c>
      <c r="G2185" s="12"/>
      <c r="H2185" s="12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</row>
    <row r="2186">
      <c r="A2186" s="11" t="str">
        <f>IFERROR(__xludf.DUMMYFUNCTION("""COMPUTED_VALUE"""),"Dana Inc  Com")</f>
        <v>Dana Inc  Com</v>
      </c>
      <c r="B2186" s="12" t="str">
        <f>IFERROR(__xludf.DUMMYFUNCTION("""COMPUTED_VALUE"""),"DAN-US")</f>
        <v>DAN-US</v>
      </c>
      <c r="C2186" s="12"/>
      <c r="D2186" s="13">
        <f>IFERROR(__xludf.DUMMYFUNCTION("""COMPUTED_VALUE"""),45552.0)</f>
        <v>45552</v>
      </c>
      <c r="E2186" s="13">
        <f>IFERROR(__xludf.DUMMYFUNCTION("""COMPUTED_VALUE"""),45771.0)</f>
        <v>45771</v>
      </c>
      <c r="F2186" s="13">
        <f>IFERROR(__xludf.DUMMYFUNCTION("""COMPUTED_VALUE"""),45771.0)</f>
        <v>45771</v>
      </c>
      <c r="G2186" s="12"/>
      <c r="H2186" s="12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</row>
    <row r="2187">
      <c r="A2187" s="11" t="str">
        <f>IFERROR(__xludf.DUMMYFUNCTION("""COMPUTED_VALUE"""),"Reynolds Consumer Products Inc  Com")</f>
        <v>Reynolds Consumer Products Inc  Com</v>
      </c>
      <c r="B2187" s="12" t="str">
        <f>IFERROR(__xludf.DUMMYFUNCTION("""COMPUTED_VALUE"""),"REYN-US")</f>
        <v>REYN-US</v>
      </c>
      <c r="C2187" s="12"/>
      <c r="D2187" s="13">
        <f>IFERROR(__xludf.DUMMYFUNCTION("""COMPUTED_VALUE"""),45552.0)</f>
        <v>45552</v>
      </c>
      <c r="E2187" s="13">
        <f>IFERROR(__xludf.DUMMYFUNCTION("""COMPUTED_VALUE"""),45770.0)</f>
        <v>45770</v>
      </c>
      <c r="F2187" s="13">
        <f>IFERROR(__xludf.DUMMYFUNCTION("""COMPUTED_VALUE"""),45770.0)</f>
        <v>45770</v>
      </c>
      <c r="G2187" s="12"/>
      <c r="H2187" s="12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</row>
    <row r="2188">
      <c r="A2188" s="11" t="str">
        <f>IFERROR(__xludf.DUMMYFUNCTION("""COMPUTED_VALUE"""),"Jbg Smith Properties  Com")</f>
        <v>Jbg Smith Properties  Com</v>
      </c>
      <c r="B2188" s="12" t="str">
        <f>IFERROR(__xludf.DUMMYFUNCTION("""COMPUTED_VALUE"""),"JBGS-US")</f>
        <v>JBGS-US</v>
      </c>
      <c r="C2188" s="12"/>
      <c r="D2188" s="13">
        <f>IFERROR(__xludf.DUMMYFUNCTION("""COMPUTED_VALUE"""),45552.0)</f>
        <v>45552</v>
      </c>
      <c r="E2188" s="13">
        <f>IFERROR(__xludf.DUMMYFUNCTION("""COMPUTED_VALUE"""),45771.0)</f>
        <v>45771</v>
      </c>
      <c r="F2188" s="13">
        <f>IFERROR(__xludf.DUMMYFUNCTION("""COMPUTED_VALUE"""),45771.0)</f>
        <v>45771</v>
      </c>
      <c r="G2188" s="12"/>
      <c r="H2188" s="12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</row>
    <row r="2189">
      <c r="A2189" s="11" t="str">
        <f>IFERROR(__xludf.DUMMYFUNCTION("""COMPUTED_VALUE"""),"Sabre Corp  Com")</f>
        <v>Sabre Corp  Com</v>
      </c>
      <c r="B2189" s="12" t="str">
        <f>IFERROR(__xludf.DUMMYFUNCTION("""COMPUTED_VALUE"""),"SABR-US")</f>
        <v>SABR-US</v>
      </c>
      <c r="C2189" s="12"/>
      <c r="D2189" s="13">
        <f>IFERROR(__xludf.DUMMYFUNCTION("""COMPUTED_VALUE"""),45552.0)</f>
        <v>45552</v>
      </c>
      <c r="E2189" s="13">
        <f>IFERROR(__xludf.DUMMYFUNCTION("""COMPUTED_VALUE"""),45770.0)</f>
        <v>45770</v>
      </c>
      <c r="F2189" s="13">
        <f>IFERROR(__xludf.DUMMYFUNCTION("""COMPUTED_VALUE"""),45770.0)</f>
        <v>45770</v>
      </c>
      <c r="G2189" s="12"/>
      <c r="H2189" s="12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</row>
    <row r="2190">
      <c r="A2190" s="11" t="str">
        <f>IFERROR(__xludf.DUMMYFUNCTION("""COMPUTED_VALUE"""),"Winmark Corp  Com")</f>
        <v>Winmark Corp  Com</v>
      </c>
      <c r="B2190" s="12" t="str">
        <f>IFERROR(__xludf.DUMMYFUNCTION("""COMPUTED_VALUE"""),"WINA-US")</f>
        <v>WINA-US</v>
      </c>
      <c r="C2190" s="12"/>
      <c r="D2190" s="13">
        <f>IFERROR(__xludf.DUMMYFUNCTION("""COMPUTED_VALUE"""),45553.0)</f>
        <v>45553</v>
      </c>
      <c r="E2190" s="13">
        <f>IFERROR(__xludf.DUMMYFUNCTION("""COMPUTED_VALUE"""),45770.0)</f>
        <v>45770</v>
      </c>
      <c r="F2190" s="13">
        <f>IFERROR(__xludf.DUMMYFUNCTION("""COMPUTED_VALUE"""),45770.0)</f>
        <v>45770</v>
      </c>
      <c r="G2190" s="12"/>
      <c r="H2190" s="12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</row>
    <row r="2191">
      <c r="A2191" s="11" t="str">
        <f>IFERROR(__xludf.DUMMYFUNCTION("""COMPUTED_VALUE"""),"Kforce Inc  Com")</f>
        <v>Kforce Inc  Com</v>
      </c>
      <c r="B2191" s="12" t="str">
        <f>IFERROR(__xludf.DUMMYFUNCTION("""COMPUTED_VALUE"""),"KFRC-US")</f>
        <v>KFRC-US</v>
      </c>
      <c r="C2191" s="12"/>
      <c r="D2191" s="13">
        <f>IFERROR(__xludf.DUMMYFUNCTION("""COMPUTED_VALUE"""),45553.0)</f>
        <v>45553</v>
      </c>
      <c r="E2191" s="13">
        <f>IFERROR(__xludf.DUMMYFUNCTION("""COMPUTED_VALUE"""),45770.0)</f>
        <v>45770</v>
      </c>
      <c r="F2191" s="13">
        <f>IFERROR(__xludf.DUMMYFUNCTION("""COMPUTED_VALUE"""),45770.0)</f>
        <v>45770</v>
      </c>
      <c r="G2191" s="12"/>
      <c r="H2191" s="12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</row>
    <row r="2192">
      <c r="A2192" s="11" t="str">
        <f>IFERROR(__xludf.DUMMYFUNCTION("""COMPUTED_VALUE"""),"First Mid Bancshares Inc  Com")</f>
        <v>First Mid Bancshares Inc  Com</v>
      </c>
      <c r="B2192" s="12" t="str">
        <f>IFERROR(__xludf.DUMMYFUNCTION("""COMPUTED_VALUE"""),"FMBH-US")</f>
        <v>FMBH-US</v>
      </c>
      <c r="C2192" s="12"/>
      <c r="D2192" s="13">
        <f>IFERROR(__xludf.DUMMYFUNCTION("""COMPUTED_VALUE"""),45553.0)</f>
        <v>45553</v>
      </c>
      <c r="E2192" s="13">
        <f>IFERROR(__xludf.DUMMYFUNCTION("""COMPUTED_VALUE"""),45777.0)</f>
        <v>45777</v>
      </c>
      <c r="F2192" s="13">
        <f>IFERROR(__xludf.DUMMYFUNCTION("""COMPUTED_VALUE"""),45777.0)</f>
        <v>45777</v>
      </c>
      <c r="G2192" s="12"/>
      <c r="H2192" s="12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</row>
    <row r="2193">
      <c r="A2193" s="11" t="str">
        <f>IFERROR(__xludf.DUMMYFUNCTION("""COMPUTED_VALUE"""),"Origin Bancorp Inc  Com")</f>
        <v>Origin Bancorp Inc  Com</v>
      </c>
      <c r="B2193" s="12" t="str">
        <f>IFERROR(__xludf.DUMMYFUNCTION("""COMPUTED_VALUE"""),"OBK-US")</f>
        <v>OBK-US</v>
      </c>
      <c r="C2193" s="12"/>
      <c r="D2193" s="13">
        <f>IFERROR(__xludf.DUMMYFUNCTION("""COMPUTED_VALUE"""),45553.0)</f>
        <v>45553</v>
      </c>
      <c r="E2193" s="13">
        <f>IFERROR(__xludf.DUMMYFUNCTION("""COMPUTED_VALUE"""),45770.0)</f>
        <v>45770</v>
      </c>
      <c r="F2193" s="13">
        <f>IFERROR(__xludf.DUMMYFUNCTION("""COMPUTED_VALUE"""),45770.0)</f>
        <v>45770</v>
      </c>
      <c r="G2193" s="12"/>
      <c r="H2193" s="12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</row>
    <row r="2194">
      <c r="A2194" s="11" t="str">
        <f>IFERROR(__xludf.DUMMYFUNCTION("""COMPUTED_VALUE"""),"Sonic Automotive Inc  Cl A")</f>
        <v>Sonic Automotive Inc  Cl A</v>
      </c>
      <c r="B2194" s="12" t="str">
        <f>IFERROR(__xludf.DUMMYFUNCTION("""COMPUTED_VALUE"""),"SAH-US")</f>
        <v>SAH-US</v>
      </c>
      <c r="C2194" s="12"/>
      <c r="D2194" s="13">
        <f>IFERROR(__xludf.DUMMYFUNCTION("""COMPUTED_VALUE"""),45553.0)</f>
        <v>45553</v>
      </c>
      <c r="E2194" s="13">
        <f>IFERROR(__xludf.DUMMYFUNCTION("""COMPUTED_VALUE"""),45770.0)</f>
        <v>45770</v>
      </c>
      <c r="F2194" s="13">
        <f>IFERROR(__xludf.DUMMYFUNCTION("""COMPUTED_VALUE"""),45770.0)</f>
        <v>45770</v>
      </c>
      <c r="G2194" s="12"/>
      <c r="H2194" s="12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</row>
    <row r="2195">
      <c r="A2195" s="11" t="str">
        <f>IFERROR(__xludf.DUMMYFUNCTION("""COMPUTED_VALUE"""),"Ducommun Inc (Del)  Com")</f>
        <v>Ducommun Inc (Del)  Com</v>
      </c>
      <c r="B2195" s="12" t="str">
        <f>IFERROR(__xludf.DUMMYFUNCTION("""COMPUTED_VALUE"""),"DCO-US")</f>
        <v>DCO-US</v>
      </c>
      <c r="C2195" s="12"/>
      <c r="D2195" s="13">
        <f>IFERROR(__xludf.DUMMYFUNCTION("""COMPUTED_VALUE"""),45554.0)</f>
        <v>45554</v>
      </c>
      <c r="E2195" s="13">
        <f>IFERROR(__xludf.DUMMYFUNCTION("""COMPUTED_VALUE"""),45777.0)</f>
        <v>45777</v>
      </c>
      <c r="F2195" s="13">
        <f>IFERROR(__xludf.DUMMYFUNCTION("""COMPUTED_VALUE"""),45777.0)</f>
        <v>45777</v>
      </c>
      <c r="G2195" s="12"/>
      <c r="H2195" s="12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</row>
    <row r="2196">
      <c r="A2196" s="11" t="str">
        <f>IFERROR(__xludf.DUMMYFUNCTION("""COMPUTED_VALUE"""),"Universal Logistics Holdings  Com")</f>
        <v>Universal Logistics Holdings  Com</v>
      </c>
      <c r="B2196" s="12" t="str">
        <f>IFERROR(__xludf.DUMMYFUNCTION("""COMPUTED_VALUE"""),"ULH-US")</f>
        <v>ULH-US</v>
      </c>
      <c r="C2196" s="12"/>
      <c r="D2196" s="13">
        <f>IFERROR(__xludf.DUMMYFUNCTION("""COMPUTED_VALUE"""),45555.0)</f>
        <v>45555</v>
      </c>
      <c r="E2196" s="13">
        <f>IFERROR(__xludf.DUMMYFUNCTION("""COMPUTED_VALUE"""),45770.0)</f>
        <v>45770</v>
      </c>
      <c r="F2196" s="13">
        <f>IFERROR(__xludf.DUMMYFUNCTION("""COMPUTED_VALUE"""),45770.0)</f>
        <v>45770</v>
      </c>
      <c r="G2196" s="12"/>
      <c r="H2196" s="12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</row>
    <row r="2197">
      <c r="A2197" s="11" t="str">
        <f>IFERROR(__xludf.DUMMYFUNCTION("""COMPUTED_VALUE"""),"Mativ Holdings Inc  Com")</f>
        <v>Mativ Holdings Inc  Com</v>
      </c>
      <c r="B2197" s="12" t="str">
        <f>IFERROR(__xludf.DUMMYFUNCTION("""COMPUTED_VALUE"""),"MATV-US")</f>
        <v>MATV-US</v>
      </c>
      <c r="C2197" s="12"/>
      <c r="D2197" s="13">
        <f>IFERROR(__xludf.DUMMYFUNCTION("""COMPUTED_VALUE"""),45555.0)</f>
        <v>45555</v>
      </c>
      <c r="E2197" s="13">
        <f>IFERROR(__xludf.DUMMYFUNCTION("""COMPUTED_VALUE"""),45777.0)</f>
        <v>45777</v>
      </c>
      <c r="F2197" s="13">
        <f>IFERROR(__xludf.DUMMYFUNCTION("""COMPUTED_VALUE"""),45777.0)</f>
        <v>45777</v>
      </c>
      <c r="G2197" s="12"/>
      <c r="H2197" s="12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</row>
    <row r="2198">
      <c r="A2198" s="11" t="str">
        <f>IFERROR(__xludf.DUMMYFUNCTION("""COMPUTED_VALUE"""),"First Bancorp Inc/Me  Com")</f>
        <v>First Bancorp Inc/Me  Com</v>
      </c>
      <c r="B2198" s="12" t="str">
        <f>IFERROR(__xludf.DUMMYFUNCTION("""COMPUTED_VALUE"""),"FNLC-US")</f>
        <v>FNLC-US</v>
      </c>
      <c r="C2198" s="12"/>
      <c r="D2198" s="13">
        <f>IFERROR(__xludf.DUMMYFUNCTION("""COMPUTED_VALUE"""),45558.0)</f>
        <v>45558</v>
      </c>
      <c r="E2198" s="13">
        <f>IFERROR(__xludf.DUMMYFUNCTION("""COMPUTED_VALUE"""),45777.0)</f>
        <v>45777</v>
      </c>
      <c r="F2198" s="13">
        <f>IFERROR(__xludf.DUMMYFUNCTION("""COMPUTED_VALUE"""),45777.0)</f>
        <v>45777</v>
      </c>
      <c r="G2198" s="12"/>
      <c r="H2198" s="12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</row>
    <row r="2199">
      <c r="A2199" s="11" t="str">
        <f>IFERROR(__xludf.DUMMYFUNCTION("""COMPUTED_VALUE"""),"Calavo Growers Inc  Com")</f>
        <v>Calavo Growers Inc  Com</v>
      </c>
      <c r="B2199" s="12" t="str">
        <f>IFERROR(__xludf.DUMMYFUNCTION("""COMPUTED_VALUE"""),"CVGW-US")</f>
        <v>CVGW-US</v>
      </c>
      <c r="C2199" s="12"/>
      <c r="D2199" s="13">
        <f>IFERROR(__xludf.DUMMYFUNCTION("""COMPUTED_VALUE"""),45559.0)</f>
        <v>45559</v>
      </c>
      <c r="E2199" s="13">
        <f>IFERROR(__xludf.DUMMYFUNCTION("""COMPUTED_VALUE"""),45770.0)</f>
        <v>45770</v>
      </c>
      <c r="F2199" s="13">
        <f>IFERROR(__xludf.DUMMYFUNCTION("""COMPUTED_VALUE"""),45770.0)</f>
        <v>45770</v>
      </c>
      <c r="G2199" s="12"/>
      <c r="H2199" s="12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</row>
    <row r="2200">
      <c r="A2200" s="11" t="str">
        <f>IFERROR(__xludf.DUMMYFUNCTION("""COMPUTED_VALUE"""),"Truist Financial Corp  Com")</f>
        <v>Truist Financial Corp  Com</v>
      </c>
      <c r="B2200" s="12" t="str">
        <f>IFERROR(__xludf.DUMMYFUNCTION("""COMPUTED_VALUE"""),"TFC-US")</f>
        <v>TFC-US</v>
      </c>
      <c r="C2200" s="12"/>
      <c r="D2200" s="13">
        <f>IFERROR(__xludf.DUMMYFUNCTION("""COMPUTED_VALUE"""),45559.0)</f>
        <v>45559</v>
      </c>
      <c r="E2200" s="13">
        <f>IFERROR(__xludf.DUMMYFUNCTION("""COMPUTED_VALUE"""),45776.0)</f>
        <v>45776</v>
      </c>
      <c r="F2200" s="13">
        <f>IFERROR(__xludf.DUMMYFUNCTION("""COMPUTED_VALUE"""),45776.0)</f>
        <v>45776</v>
      </c>
      <c r="G2200" s="12"/>
      <c r="H2200" s="12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</row>
    <row r="2201">
      <c r="A2201" s="11" t="str">
        <f>IFERROR(__xludf.DUMMYFUNCTION("""COMPUTED_VALUE"""),"American Electric Power Inc  Com")</f>
        <v>American Electric Power Inc  Com</v>
      </c>
      <c r="B2201" s="12" t="str">
        <f>IFERROR(__xludf.DUMMYFUNCTION("""COMPUTED_VALUE"""),"AEP-US")</f>
        <v>AEP-US</v>
      </c>
      <c r="C2201" s="12"/>
      <c r="D2201" s="13">
        <f>IFERROR(__xludf.DUMMYFUNCTION("""COMPUTED_VALUE"""),45560.0)</f>
        <v>45560</v>
      </c>
      <c r="E2201" s="13">
        <f>IFERROR(__xludf.DUMMYFUNCTION("""COMPUTED_VALUE"""),45776.0)</f>
        <v>45776</v>
      </c>
      <c r="F2201" s="13">
        <f>IFERROR(__xludf.DUMMYFUNCTION("""COMPUTED_VALUE"""),45776.0)</f>
        <v>45776</v>
      </c>
      <c r="G2201" s="12"/>
      <c r="H2201" s="12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</row>
    <row r="2202">
      <c r="A2202" s="11" t="str">
        <f>IFERROR(__xludf.DUMMYFUNCTION("""COMPUTED_VALUE"""),"Msci Inc  Cl A")</f>
        <v>Msci Inc  Cl A</v>
      </c>
      <c r="B2202" s="12" t="str">
        <f>IFERROR(__xludf.DUMMYFUNCTION("""COMPUTED_VALUE"""),"MSCI-US")</f>
        <v>MSCI-US</v>
      </c>
      <c r="C2202" s="12"/>
      <c r="D2202" s="13">
        <f>IFERROR(__xludf.DUMMYFUNCTION("""COMPUTED_VALUE"""),45560.0)</f>
        <v>45560</v>
      </c>
      <c r="E2202" s="13">
        <f>IFERROR(__xludf.DUMMYFUNCTION("""COMPUTED_VALUE"""),45769.0)</f>
        <v>45769</v>
      </c>
      <c r="F2202" s="13">
        <f>IFERROR(__xludf.DUMMYFUNCTION("""COMPUTED_VALUE"""),45769.0)</f>
        <v>45769</v>
      </c>
      <c r="G2202" s="12"/>
      <c r="H2202" s="12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</row>
    <row r="2203">
      <c r="A2203" s="11" t="str">
        <f>IFERROR(__xludf.DUMMYFUNCTION("""COMPUTED_VALUE"""),"Charter Communications Inc  Cl A")</f>
        <v>Charter Communications Inc  Cl A</v>
      </c>
      <c r="B2203" s="12" t="str">
        <f>IFERROR(__xludf.DUMMYFUNCTION("""COMPUTED_VALUE"""),"CHTR-US")</f>
        <v>CHTR-US</v>
      </c>
      <c r="C2203" s="12"/>
      <c r="D2203" s="13">
        <f>IFERROR(__xludf.DUMMYFUNCTION("""COMPUTED_VALUE"""),45560.0)</f>
        <v>45560</v>
      </c>
      <c r="E2203" s="13">
        <f>IFERROR(__xludf.DUMMYFUNCTION("""COMPUTED_VALUE"""),45769.0)</f>
        <v>45769</v>
      </c>
      <c r="F2203" s="13">
        <f>IFERROR(__xludf.DUMMYFUNCTION("""COMPUTED_VALUE"""),45769.0)</f>
        <v>45769</v>
      </c>
      <c r="G2203" s="12"/>
      <c r="H2203" s="12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</row>
    <row r="2204">
      <c r="A2204" s="11" t="str">
        <f>IFERROR(__xludf.DUMMYFUNCTION("""COMPUTED_VALUE"""),"West Pharmaceutical Services  Com")</f>
        <v>West Pharmaceutical Services  Com</v>
      </c>
      <c r="B2204" s="12" t="str">
        <f>IFERROR(__xludf.DUMMYFUNCTION("""COMPUTED_VALUE"""),"WST-US")</f>
        <v>WST-US</v>
      </c>
      <c r="C2204" s="12"/>
      <c r="D2204" s="13">
        <f>IFERROR(__xludf.DUMMYFUNCTION("""COMPUTED_VALUE"""),45561.0)</f>
        <v>45561</v>
      </c>
      <c r="E2204" s="13">
        <f>IFERROR(__xludf.DUMMYFUNCTION("""COMPUTED_VALUE"""),45783.0)</f>
        <v>45783</v>
      </c>
      <c r="F2204" s="13">
        <f>IFERROR(__xludf.DUMMYFUNCTION("""COMPUTED_VALUE"""),45783.0)</f>
        <v>45783</v>
      </c>
      <c r="G2204" s="12"/>
      <c r="H2204" s="12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</row>
    <row r="2205">
      <c r="A2205" s="11" t="str">
        <f>IFERROR(__xludf.DUMMYFUNCTION("""COMPUTED_VALUE"""),"Revvity Inc  Com")</f>
        <v>Revvity Inc  Com</v>
      </c>
      <c r="B2205" s="12" t="str">
        <f>IFERROR(__xludf.DUMMYFUNCTION("""COMPUTED_VALUE"""),"RVTY-US")</f>
        <v>RVTY-US</v>
      </c>
      <c r="C2205" s="12"/>
      <c r="D2205" s="13">
        <f>IFERROR(__xludf.DUMMYFUNCTION("""COMPUTED_VALUE"""),45561.0)</f>
        <v>45561</v>
      </c>
      <c r="E2205" s="13">
        <f>IFERROR(__xludf.DUMMYFUNCTION("""COMPUTED_VALUE"""),45769.0)</f>
        <v>45769</v>
      </c>
      <c r="F2205" s="13">
        <f>IFERROR(__xludf.DUMMYFUNCTION("""COMPUTED_VALUE"""),45769.0)</f>
        <v>45769</v>
      </c>
      <c r="G2205" s="12"/>
      <c r="H2205" s="12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</row>
    <row r="2206">
      <c r="A2206" s="11" t="str">
        <f>IFERROR(__xludf.DUMMYFUNCTION("""COMPUTED_VALUE"""),"Rollins Inc  Com")</f>
        <v>Rollins Inc  Com</v>
      </c>
      <c r="B2206" s="12" t="str">
        <f>IFERROR(__xludf.DUMMYFUNCTION("""COMPUTED_VALUE"""),"ROL-US")</f>
        <v>ROL-US</v>
      </c>
      <c r="C2206" s="12"/>
      <c r="D2206" s="13">
        <f>IFERROR(__xludf.DUMMYFUNCTION("""COMPUTED_VALUE"""),45561.0)</f>
        <v>45561</v>
      </c>
      <c r="E2206" s="13">
        <f>IFERROR(__xludf.DUMMYFUNCTION("""COMPUTED_VALUE"""),45769.0)</f>
        <v>45769</v>
      </c>
      <c r="F2206" s="13">
        <f>IFERROR(__xludf.DUMMYFUNCTION("""COMPUTED_VALUE"""),45769.0)</f>
        <v>45769</v>
      </c>
      <c r="G2206" s="12"/>
      <c r="H2206" s="12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</row>
    <row r="2207">
      <c r="A2207" s="11" t="str">
        <f>IFERROR(__xludf.DUMMYFUNCTION("""COMPUTED_VALUE"""),"First Horizon Corp  Com")</f>
        <v>First Horizon Corp  Com</v>
      </c>
      <c r="B2207" s="12" t="str">
        <f>IFERROR(__xludf.DUMMYFUNCTION("""COMPUTED_VALUE"""),"FHN-US")</f>
        <v>FHN-US</v>
      </c>
      <c r="C2207" s="12"/>
      <c r="D2207" s="13">
        <f>IFERROR(__xludf.DUMMYFUNCTION("""COMPUTED_VALUE"""),45562.0)</f>
        <v>45562</v>
      </c>
      <c r="E2207" s="13">
        <f>IFERROR(__xludf.DUMMYFUNCTION("""COMPUTED_VALUE"""),45776.0)</f>
        <v>45776</v>
      </c>
      <c r="F2207" s="13">
        <f>IFERROR(__xludf.DUMMYFUNCTION("""COMPUTED_VALUE"""),45776.0)</f>
        <v>45776</v>
      </c>
      <c r="G2207" s="12"/>
      <c r="H2207" s="12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</row>
    <row r="2208">
      <c r="A2208" s="11" t="str">
        <f>IFERROR(__xludf.DUMMYFUNCTION("""COMPUTED_VALUE"""),"Regal Rexnord Corp  Com")</f>
        <v>Regal Rexnord Corp  Com</v>
      </c>
      <c r="B2208" s="12" t="str">
        <f>IFERROR(__xludf.DUMMYFUNCTION("""COMPUTED_VALUE"""),"RRX-US")</f>
        <v>RRX-US</v>
      </c>
      <c r="C2208" s="12"/>
      <c r="D2208" s="13">
        <f>IFERROR(__xludf.DUMMYFUNCTION("""COMPUTED_VALUE"""),45566.0)</f>
        <v>45566</v>
      </c>
      <c r="E2208" s="13">
        <f>IFERROR(__xludf.DUMMYFUNCTION("""COMPUTED_VALUE"""),45776.0)</f>
        <v>45776</v>
      </c>
      <c r="F2208" s="13">
        <f>IFERROR(__xludf.DUMMYFUNCTION("""COMPUTED_VALUE"""),45776.0)</f>
        <v>45776</v>
      </c>
      <c r="G2208" s="12"/>
      <c r="H2208" s="12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</row>
    <row r="2209">
      <c r="A2209" s="11" t="str">
        <f>IFERROR(__xludf.DUMMYFUNCTION("""COMPUTED_VALUE"""),"Churchill Downs Inc  Com")</f>
        <v>Churchill Downs Inc  Com</v>
      </c>
      <c r="B2209" s="12" t="str">
        <f>IFERROR(__xludf.DUMMYFUNCTION("""COMPUTED_VALUE"""),"CHDN-US")</f>
        <v>CHDN-US</v>
      </c>
      <c r="C2209" s="12"/>
      <c r="D2209" s="13">
        <f>IFERROR(__xludf.DUMMYFUNCTION("""COMPUTED_VALUE"""),45567.0)</f>
        <v>45567</v>
      </c>
      <c r="E2209" s="13">
        <f>IFERROR(__xludf.DUMMYFUNCTION("""COMPUTED_VALUE"""),45769.0)</f>
        <v>45769</v>
      </c>
      <c r="F2209" s="13">
        <f>IFERROR(__xludf.DUMMYFUNCTION("""COMPUTED_VALUE"""),45769.0)</f>
        <v>45769</v>
      </c>
      <c r="G2209" s="12"/>
      <c r="H2209" s="12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</row>
    <row r="2210">
      <c r="A2210" s="11" t="str">
        <f>IFERROR(__xludf.DUMMYFUNCTION("""COMPUTED_VALUE"""),"Lithia Motors Inc  Com")</f>
        <v>Lithia Motors Inc  Com</v>
      </c>
      <c r="B2210" s="12" t="str">
        <f>IFERROR(__xludf.DUMMYFUNCTION("""COMPUTED_VALUE"""),"LAD-US")</f>
        <v>LAD-US</v>
      </c>
      <c r="C2210" s="12"/>
      <c r="D2210" s="13">
        <f>IFERROR(__xludf.DUMMYFUNCTION("""COMPUTED_VALUE"""),45568.0)</f>
        <v>45568</v>
      </c>
      <c r="E2210" s="13">
        <f>IFERROR(__xludf.DUMMYFUNCTION("""COMPUTED_VALUE"""),45771.0)</f>
        <v>45771</v>
      </c>
      <c r="F2210" s="13">
        <f>IFERROR(__xludf.DUMMYFUNCTION("""COMPUTED_VALUE"""),45771.0)</f>
        <v>45771</v>
      </c>
      <c r="G2210" s="12"/>
      <c r="H2210" s="12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</row>
    <row r="2211">
      <c r="A2211" s="11" t="str">
        <f>IFERROR(__xludf.DUMMYFUNCTION("""COMPUTED_VALUE"""),"Pinnacle Financial Partners Inc  Com")</f>
        <v>Pinnacle Financial Partners Inc  Com</v>
      </c>
      <c r="B2211" s="12" t="str">
        <f>IFERROR(__xludf.DUMMYFUNCTION("""COMPUTED_VALUE"""),"PNFP-US")</f>
        <v>PNFP-US</v>
      </c>
      <c r="C2211" s="12"/>
      <c r="D2211" s="13">
        <f>IFERROR(__xludf.DUMMYFUNCTION("""COMPUTED_VALUE"""),45568.0)</f>
        <v>45568</v>
      </c>
      <c r="E2211" s="13">
        <f>IFERROR(__xludf.DUMMYFUNCTION("""COMPUTED_VALUE"""),45762.0)</f>
        <v>45762</v>
      </c>
      <c r="F2211" s="13">
        <f>IFERROR(__xludf.DUMMYFUNCTION("""COMPUTED_VALUE"""),45762.0)</f>
        <v>45762</v>
      </c>
      <c r="G2211" s="12"/>
      <c r="H2211" s="12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</row>
    <row r="2212">
      <c r="A2212" s="11" t="str">
        <f>IFERROR(__xludf.DUMMYFUNCTION("""COMPUTED_VALUE"""),"Comerica Inc  Com")</f>
        <v>Comerica Inc  Com</v>
      </c>
      <c r="B2212" s="12" t="str">
        <f>IFERROR(__xludf.DUMMYFUNCTION("""COMPUTED_VALUE"""),"CMA-US")</f>
        <v>CMA-US</v>
      </c>
      <c r="C2212" s="12"/>
      <c r="D2212" s="13">
        <f>IFERROR(__xludf.DUMMYFUNCTION("""COMPUTED_VALUE"""),45568.0)</f>
        <v>45568</v>
      </c>
      <c r="E2212" s="13">
        <f>IFERROR(__xludf.DUMMYFUNCTION("""COMPUTED_VALUE"""),45776.0)</f>
        <v>45776</v>
      </c>
      <c r="F2212" s="13">
        <f>IFERROR(__xludf.DUMMYFUNCTION("""COMPUTED_VALUE"""),45776.0)</f>
        <v>45776</v>
      </c>
      <c r="G2212" s="12"/>
      <c r="H2212" s="12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</row>
    <row r="2213">
      <c r="A2213" s="11" t="str">
        <f>IFERROR(__xludf.DUMMYFUNCTION("""COMPUTED_VALUE"""),"Bio Rad Labs Inc  Cl A Com")</f>
        <v>Bio Rad Labs Inc  Cl A Com</v>
      </c>
      <c r="B2213" s="12" t="str">
        <f>IFERROR(__xludf.DUMMYFUNCTION("""COMPUTED_VALUE"""),"BIO-US")</f>
        <v>BIO-US</v>
      </c>
      <c r="C2213" s="12"/>
      <c r="D2213" s="13">
        <f>IFERROR(__xludf.DUMMYFUNCTION("""COMPUTED_VALUE"""),45569.0)</f>
        <v>45569</v>
      </c>
      <c r="E2213" s="13">
        <f>IFERROR(__xludf.DUMMYFUNCTION("""COMPUTED_VALUE"""),45769.0)</f>
        <v>45769</v>
      </c>
      <c r="F2213" s="13">
        <f>IFERROR(__xludf.DUMMYFUNCTION("""COMPUTED_VALUE"""),45769.0)</f>
        <v>45769</v>
      </c>
      <c r="G2213" s="12"/>
      <c r="H2213" s="12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</row>
    <row r="2214">
      <c r="A2214" s="11" t="str">
        <f>IFERROR(__xludf.DUMMYFUNCTION("""COMPUTED_VALUE"""),"Federal Signal Corp  Com")</f>
        <v>Federal Signal Corp  Com</v>
      </c>
      <c r="B2214" s="12" t="str">
        <f>IFERROR(__xludf.DUMMYFUNCTION("""COMPUTED_VALUE"""),"FSS-US")</f>
        <v>FSS-US</v>
      </c>
      <c r="C2214" s="12"/>
      <c r="D2214" s="13">
        <f>IFERROR(__xludf.DUMMYFUNCTION("""COMPUTED_VALUE"""),45569.0)</f>
        <v>45569</v>
      </c>
      <c r="E2214" s="13">
        <f>IFERROR(__xludf.DUMMYFUNCTION("""COMPUTED_VALUE"""),45769.0)</f>
        <v>45769</v>
      </c>
      <c r="F2214" s="13">
        <f>IFERROR(__xludf.DUMMYFUNCTION("""COMPUTED_VALUE"""),45769.0)</f>
        <v>45769</v>
      </c>
      <c r="G2214" s="12"/>
      <c r="H2214" s="12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</row>
    <row r="2215">
      <c r="A2215" s="11" t="str">
        <f>IFERROR(__xludf.DUMMYFUNCTION("""COMPUTED_VALUE"""),"Cousins Properties Inc  Com")</f>
        <v>Cousins Properties Inc  Com</v>
      </c>
      <c r="B2215" s="12" t="str">
        <f>IFERROR(__xludf.DUMMYFUNCTION("""COMPUTED_VALUE"""),"CUZ-US")</f>
        <v>CUZ-US</v>
      </c>
      <c r="C2215" s="12"/>
      <c r="D2215" s="13">
        <f>IFERROR(__xludf.DUMMYFUNCTION("""COMPUTED_VALUE"""),45573.0)</f>
        <v>45573</v>
      </c>
      <c r="E2215" s="13">
        <f>IFERROR(__xludf.DUMMYFUNCTION("""COMPUTED_VALUE"""),45776.0)</f>
        <v>45776</v>
      </c>
      <c r="F2215" s="13">
        <f>IFERROR(__xludf.DUMMYFUNCTION("""COMPUTED_VALUE"""),45776.0)</f>
        <v>45776</v>
      </c>
      <c r="G2215" s="12"/>
      <c r="H2215" s="12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</row>
    <row r="2216">
      <c r="A2216" s="11" t="str">
        <f>IFERROR(__xludf.DUMMYFUNCTION("""COMPUTED_VALUE"""),"First Financial Bankshares  Com")</f>
        <v>First Financial Bankshares  Com</v>
      </c>
      <c r="B2216" s="12" t="str">
        <f>IFERROR(__xludf.DUMMYFUNCTION("""COMPUTED_VALUE"""),"FFIN-US")</f>
        <v>FFIN-US</v>
      </c>
      <c r="C2216" s="12"/>
      <c r="D2216" s="17">
        <f>IFERROR(__xludf.DUMMYFUNCTION("""COMPUTED_VALUE"""),45209.0)</f>
        <v>45209</v>
      </c>
      <c r="E2216" s="13">
        <f>IFERROR(__xludf.DUMMYFUNCTION("""COMPUTED_VALUE"""),45776.0)</f>
        <v>45776</v>
      </c>
      <c r="F2216" s="13">
        <f>IFERROR(__xludf.DUMMYFUNCTION("""COMPUTED_VALUE"""),45776.0)</f>
        <v>45776</v>
      </c>
      <c r="G2216" s="12"/>
      <c r="H2216" s="12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</row>
    <row r="2217">
      <c r="A2217" s="11" t="str">
        <f>IFERROR(__xludf.DUMMYFUNCTION("""COMPUTED_VALUE"""),"Black Hills Corp  Com")</f>
        <v>Black Hills Corp  Com</v>
      </c>
      <c r="B2217" s="12" t="str">
        <f>IFERROR(__xludf.DUMMYFUNCTION("""COMPUTED_VALUE"""),"BKH-US")</f>
        <v>BKH-US</v>
      </c>
      <c r="C2217" s="12"/>
      <c r="D2217" s="17">
        <f>IFERROR(__xludf.DUMMYFUNCTION("""COMPUTED_VALUE"""),45575.0)</f>
        <v>45575</v>
      </c>
      <c r="E2217" s="13">
        <f>IFERROR(__xludf.DUMMYFUNCTION("""COMPUTED_VALUE"""),45770.0)</f>
        <v>45770</v>
      </c>
      <c r="F2217" s="13">
        <f>IFERROR(__xludf.DUMMYFUNCTION("""COMPUTED_VALUE"""),45770.0)</f>
        <v>45770</v>
      </c>
      <c r="G2217" s="12"/>
      <c r="H2217" s="12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</row>
    <row r="2218">
      <c r="A2218" s="11" t="str">
        <f>IFERROR(__xludf.DUMMYFUNCTION("""COMPUTED_VALUE"""),"Simmons First National Corp  Cl A")</f>
        <v>Simmons First National Corp  Cl A</v>
      </c>
      <c r="B2218" s="12" t="str">
        <f>IFERROR(__xludf.DUMMYFUNCTION("""COMPUTED_VALUE"""),"SFNC-US")</f>
        <v>SFNC-US</v>
      </c>
      <c r="C2218" s="12"/>
      <c r="D2218" s="17">
        <f>IFERROR(__xludf.DUMMYFUNCTION("""COMPUTED_VALUE"""),45579.0)</f>
        <v>45579</v>
      </c>
      <c r="E2218" s="13">
        <f>IFERROR(__xludf.DUMMYFUNCTION("""COMPUTED_VALUE"""),45784.0)</f>
        <v>45784</v>
      </c>
      <c r="F2218" s="13">
        <f>IFERROR(__xludf.DUMMYFUNCTION("""COMPUTED_VALUE"""),45784.0)</f>
        <v>45784</v>
      </c>
      <c r="G2218" s="12"/>
      <c r="H2218" s="12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</row>
    <row r="2219">
      <c r="A2219" s="11" t="str">
        <f>IFERROR(__xludf.DUMMYFUNCTION("""COMPUTED_VALUE"""),"Stoneco Ltd  Cl A")</f>
        <v>Stoneco Ltd  Cl A</v>
      </c>
      <c r="B2219" s="12" t="str">
        <f>IFERROR(__xludf.DUMMYFUNCTION("""COMPUTED_VALUE"""),"STNE-US")</f>
        <v>STNE-US</v>
      </c>
      <c r="C2219" s="12"/>
      <c r="D2219" s="17">
        <f>IFERROR(__xludf.DUMMYFUNCTION("""COMPUTED_VALUE"""),45581.0)</f>
        <v>45581</v>
      </c>
      <c r="E2219" s="13">
        <f>IFERROR(__xludf.DUMMYFUNCTION("""COMPUTED_VALUE"""),45770.0)</f>
        <v>45770</v>
      </c>
      <c r="F2219" s="13">
        <f>IFERROR(__xludf.DUMMYFUNCTION("""COMPUTED_VALUE"""),45770.0)</f>
        <v>45770</v>
      </c>
      <c r="G2219" s="12"/>
      <c r="H2219" s="12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</row>
    <row r="2220">
      <c r="A2220" s="11" t="str">
        <f>IFERROR(__xludf.DUMMYFUNCTION("""COMPUTED_VALUE"""),"Renasant Corp  Com")</f>
        <v>Renasant Corp  Com</v>
      </c>
      <c r="B2220" s="12" t="str">
        <f>IFERROR(__xludf.DUMMYFUNCTION("""COMPUTED_VALUE"""),"RNST-US")</f>
        <v>RNST-US</v>
      </c>
      <c r="C2220" s="12"/>
      <c r="D2220" s="17">
        <f>IFERROR(__xludf.DUMMYFUNCTION("""COMPUTED_VALUE"""),45582.0)</f>
        <v>45582</v>
      </c>
      <c r="E2220" s="13">
        <f>IFERROR(__xludf.DUMMYFUNCTION("""COMPUTED_VALUE"""),45769.0)</f>
        <v>45769</v>
      </c>
      <c r="F2220" s="13">
        <f>IFERROR(__xludf.DUMMYFUNCTION("""COMPUTED_VALUE"""),45769.0)</f>
        <v>45769</v>
      </c>
      <c r="G2220" s="12"/>
      <c r="H2220" s="12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</row>
    <row r="2221">
      <c r="A2221" s="11" t="str">
        <f>IFERROR(__xludf.DUMMYFUNCTION("""COMPUTED_VALUE"""),"Trustmark Corp  Com")</f>
        <v>Trustmark Corp  Com</v>
      </c>
      <c r="B2221" s="12" t="str">
        <f>IFERROR(__xludf.DUMMYFUNCTION("""COMPUTED_VALUE"""),"TRMK-US")</f>
        <v>TRMK-US</v>
      </c>
      <c r="C2221" s="12"/>
      <c r="D2221" s="17">
        <f>IFERROR(__xludf.DUMMYFUNCTION("""COMPUTED_VALUE"""),45582.0)</f>
        <v>45582</v>
      </c>
      <c r="E2221" s="13">
        <f>IFERROR(__xludf.DUMMYFUNCTION("""COMPUTED_VALUE"""),45769.0)</f>
        <v>45769</v>
      </c>
      <c r="F2221" s="13">
        <f>IFERROR(__xludf.DUMMYFUNCTION("""COMPUTED_VALUE"""),45769.0)</f>
        <v>45769</v>
      </c>
      <c r="G2221" s="12"/>
      <c r="H2221" s="12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</row>
    <row r="2222">
      <c r="A2222" s="11" t="str">
        <f>IFERROR(__xludf.DUMMYFUNCTION("""COMPUTED_VALUE"""),"Triumph Financial Inc  Com")</f>
        <v>Triumph Financial Inc  Com</v>
      </c>
      <c r="B2222" s="12" t="str">
        <f>IFERROR(__xludf.DUMMYFUNCTION("""COMPUTED_VALUE"""),"TFIN-US")</f>
        <v>TFIN-US</v>
      </c>
      <c r="C2222" s="12"/>
      <c r="D2222" s="17">
        <f>IFERROR(__xludf.DUMMYFUNCTION("""COMPUTED_VALUE"""),45582.0)</f>
        <v>45582</v>
      </c>
      <c r="E2222" s="13">
        <f>IFERROR(__xludf.DUMMYFUNCTION("""COMPUTED_VALUE"""),45769.0)</f>
        <v>45769</v>
      </c>
      <c r="F2222" s="13">
        <f>IFERROR(__xludf.DUMMYFUNCTION("""COMPUTED_VALUE"""),45769.0)</f>
        <v>45769</v>
      </c>
      <c r="G2222" s="12"/>
      <c r="H2222" s="12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</row>
    <row r="2223">
      <c r="A2223" s="11" t="str">
        <f>IFERROR(__xludf.DUMMYFUNCTION("""COMPUTED_VALUE"""),"Ingevity Corp  Com")</f>
        <v>Ingevity Corp  Com</v>
      </c>
      <c r="B2223" s="12" t="str">
        <f>IFERROR(__xludf.DUMMYFUNCTION("""COMPUTED_VALUE"""),"NGVT-US")</f>
        <v>NGVT-US</v>
      </c>
      <c r="C2223" s="12"/>
      <c r="D2223" s="17">
        <f>IFERROR(__xludf.DUMMYFUNCTION("""COMPUTED_VALUE"""),45586.0)</f>
        <v>45586</v>
      </c>
      <c r="E2223" s="13">
        <f>IFERROR(__xludf.DUMMYFUNCTION("""COMPUTED_VALUE"""),45777.0)</f>
        <v>45777</v>
      </c>
      <c r="F2223" s="13">
        <f>IFERROR(__xludf.DUMMYFUNCTION("""COMPUTED_VALUE"""),45777.0)</f>
        <v>45777</v>
      </c>
      <c r="G2223" s="12"/>
      <c r="H2223" s="12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</row>
    <row r="2224">
      <c r="A2224" s="11" t="str">
        <f>IFERROR(__xludf.DUMMYFUNCTION("""COMPUTED_VALUE"""),"Alexander &amp; Baldwin Inc  Com")</f>
        <v>Alexander &amp; Baldwin Inc  Com</v>
      </c>
      <c r="B2224" s="12" t="str">
        <f>IFERROR(__xludf.DUMMYFUNCTION("""COMPUTED_VALUE"""),"ALEX-US")</f>
        <v>ALEX-US</v>
      </c>
      <c r="C2224" s="12"/>
      <c r="D2224" s="17">
        <f>IFERROR(__xludf.DUMMYFUNCTION("""COMPUTED_VALUE"""),45586.0)</f>
        <v>45586</v>
      </c>
      <c r="E2224" s="13">
        <f>IFERROR(__xludf.DUMMYFUNCTION("""COMPUTED_VALUE"""),45769.0)</f>
        <v>45769</v>
      </c>
      <c r="F2224" s="13">
        <f>IFERROR(__xludf.DUMMYFUNCTION("""COMPUTED_VALUE"""),45769.0)</f>
        <v>45769</v>
      </c>
      <c r="G2224" s="12"/>
      <c r="H2224" s="12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</row>
    <row r="2225">
      <c r="A2225" s="11" t="str">
        <f>IFERROR(__xludf.DUMMYFUNCTION("""COMPUTED_VALUE"""),"Bloomin Brands Inc  Com")</f>
        <v>Bloomin Brands Inc  Com</v>
      </c>
      <c r="B2225" s="12" t="str">
        <f>IFERROR(__xludf.DUMMYFUNCTION("""COMPUTED_VALUE"""),"BLMN-US")</f>
        <v>BLMN-US</v>
      </c>
      <c r="C2225" s="12"/>
      <c r="D2225" s="17">
        <f>IFERROR(__xludf.DUMMYFUNCTION("""COMPUTED_VALUE"""),45587.0)</f>
        <v>45587</v>
      </c>
      <c r="E2225" s="13">
        <f>IFERROR(__xludf.DUMMYFUNCTION("""COMPUTED_VALUE"""),45770.0)</f>
        <v>45770</v>
      </c>
      <c r="F2225" s="13">
        <f>IFERROR(__xludf.DUMMYFUNCTION("""COMPUTED_VALUE"""),45770.0)</f>
        <v>45770</v>
      </c>
      <c r="G2225" s="12"/>
      <c r="H2225" s="12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</row>
    <row r="2226">
      <c r="A2226" s="11" t="str">
        <f>IFERROR(__xludf.DUMMYFUNCTION("""COMPUTED_VALUE"""),"Community Trust Bancorp Inc  Com")</f>
        <v>Community Trust Bancorp Inc  Com</v>
      </c>
      <c r="B2226" s="12" t="str">
        <f>IFERROR(__xludf.DUMMYFUNCTION("""COMPUTED_VALUE"""),"CTBI-US")</f>
        <v>CTBI-US</v>
      </c>
      <c r="C2226" s="12"/>
      <c r="D2226" s="17">
        <f>IFERROR(__xludf.DUMMYFUNCTION("""COMPUTED_VALUE"""),45587.0)</f>
        <v>45587</v>
      </c>
      <c r="E2226" s="13">
        <f>IFERROR(__xludf.DUMMYFUNCTION("""COMPUTED_VALUE"""),45769.0)</f>
        <v>45769</v>
      </c>
      <c r="F2226" s="13">
        <f>IFERROR(__xludf.DUMMYFUNCTION("""COMPUTED_VALUE"""),45769.0)</f>
        <v>45769</v>
      </c>
      <c r="G2226" s="12"/>
      <c r="H2226" s="12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</row>
    <row r="2227">
      <c r="A2227" s="11" t="str">
        <f>IFERROR(__xludf.DUMMYFUNCTION("""COMPUTED_VALUE"""),"Propetro Holding Corp  Com")</f>
        <v>Propetro Holding Corp  Com</v>
      </c>
      <c r="B2227" s="12" t="str">
        <f>IFERROR(__xludf.DUMMYFUNCTION("""COMPUTED_VALUE"""),"PUMP-US")</f>
        <v>PUMP-US</v>
      </c>
      <c r="C2227" s="12"/>
      <c r="D2227" s="17">
        <f>IFERROR(__xludf.DUMMYFUNCTION("""COMPUTED_VALUE"""),45587.0)</f>
        <v>45587</v>
      </c>
      <c r="E2227" s="13">
        <f>IFERROR(__xludf.DUMMYFUNCTION("""COMPUTED_VALUE"""),45797.0)</f>
        <v>45797</v>
      </c>
      <c r="F2227" s="13">
        <f>IFERROR(__xludf.DUMMYFUNCTION("""COMPUTED_VALUE"""),45797.0)</f>
        <v>45797</v>
      </c>
      <c r="G2227" s="12"/>
      <c r="H2227" s="12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</row>
    <row r="2228">
      <c r="A2228" s="11" t="str">
        <f>IFERROR(__xludf.DUMMYFUNCTION("""COMPUTED_VALUE"""),"First Community Bancshares/Nv  Com")</f>
        <v>First Community Bancshares/Nv  Com</v>
      </c>
      <c r="B2228" s="12" t="str">
        <f>IFERROR(__xludf.DUMMYFUNCTION("""COMPUTED_VALUE"""),"FCBC-US")</f>
        <v>FCBC-US</v>
      </c>
      <c r="C2228" s="12"/>
      <c r="D2228" s="17">
        <f>IFERROR(__xludf.DUMMYFUNCTION("""COMPUTED_VALUE"""),45588.0)</f>
        <v>45588</v>
      </c>
      <c r="E2228" s="13">
        <f>IFERROR(__xludf.DUMMYFUNCTION("""COMPUTED_VALUE"""),45769.0)</f>
        <v>45769</v>
      </c>
      <c r="F2228" s="13">
        <f>IFERROR(__xludf.DUMMYFUNCTION("""COMPUTED_VALUE"""),45769.0)</f>
        <v>45769</v>
      </c>
      <c r="G2228" s="12"/>
      <c r="H2228" s="12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</row>
    <row r="2229">
      <c r="A2229" s="11" t="str">
        <f>IFERROR(__xludf.DUMMYFUNCTION("""COMPUTED_VALUE"""),"Independent Bank Corp/Mi/  Com")</f>
        <v>Independent Bank Corp/Mi/  Com</v>
      </c>
      <c r="B2229" s="12" t="str">
        <f>IFERROR(__xludf.DUMMYFUNCTION("""COMPUTED_VALUE"""),"IBCP-US")</f>
        <v>IBCP-US</v>
      </c>
      <c r="C2229" s="12"/>
      <c r="D2229" s="17">
        <f>IFERROR(__xludf.DUMMYFUNCTION("""COMPUTED_VALUE"""),45588.0)</f>
        <v>45588</v>
      </c>
      <c r="E2229" s="13">
        <f>IFERROR(__xludf.DUMMYFUNCTION("""COMPUTED_VALUE"""),45769.0)</f>
        <v>45769</v>
      </c>
      <c r="F2229" s="13">
        <f>IFERROR(__xludf.DUMMYFUNCTION("""COMPUTED_VALUE"""),45769.0)</f>
        <v>45769</v>
      </c>
      <c r="G2229" s="12"/>
      <c r="H2229" s="12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</row>
    <row r="2230">
      <c r="A2230" s="11" t="str">
        <f>IFERROR(__xludf.DUMMYFUNCTION("""COMPUTED_VALUE"""),"Equity Bancshares Inc  Cl A")</f>
        <v>Equity Bancshares Inc  Cl A</v>
      </c>
      <c r="B2230" s="12" t="str">
        <f>IFERROR(__xludf.DUMMYFUNCTION("""COMPUTED_VALUE"""),"EQBK-US")</f>
        <v>EQBK-US</v>
      </c>
      <c r="C2230" s="12"/>
      <c r="D2230" s="17">
        <f>IFERROR(__xludf.DUMMYFUNCTION("""COMPUTED_VALUE"""),45588.0)</f>
        <v>45588</v>
      </c>
      <c r="E2230" s="13">
        <f>IFERROR(__xludf.DUMMYFUNCTION("""COMPUTED_VALUE"""),45769.0)</f>
        <v>45769</v>
      </c>
      <c r="F2230" s="13">
        <f>IFERROR(__xludf.DUMMYFUNCTION("""COMPUTED_VALUE"""),45769.0)</f>
        <v>45769</v>
      </c>
      <c r="G2230" s="12"/>
      <c r="H2230" s="12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</row>
    <row r="2231">
      <c r="A2231" s="11" t="str">
        <f>IFERROR(__xludf.DUMMYFUNCTION("""COMPUTED_VALUE"""),"Capital City Bank Group Inc  Com")</f>
        <v>Capital City Bank Group Inc  Com</v>
      </c>
      <c r="B2231" s="12" t="str">
        <f>IFERROR(__xludf.DUMMYFUNCTION("""COMPUTED_VALUE"""),"CCBG-US")</f>
        <v>CCBG-US</v>
      </c>
      <c r="C2231" s="12"/>
      <c r="D2231" s="17">
        <f>IFERROR(__xludf.DUMMYFUNCTION("""COMPUTED_VALUE"""),45588.0)</f>
        <v>45588</v>
      </c>
      <c r="E2231" s="13">
        <f>IFERROR(__xludf.DUMMYFUNCTION("""COMPUTED_VALUE"""),45769.0)</f>
        <v>45769</v>
      </c>
      <c r="F2231" s="13">
        <f>IFERROR(__xludf.DUMMYFUNCTION("""COMPUTED_VALUE"""),45769.0)</f>
        <v>45769</v>
      </c>
      <c r="G2231" s="12"/>
      <c r="H2231" s="12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</row>
    <row r="2232">
      <c r="A2232" s="11" t="str">
        <f>IFERROR(__xludf.DUMMYFUNCTION("""COMPUTED_VALUE"""),"Douglas Dynamics Inc  Com")</f>
        <v>Douglas Dynamics Inc  Com</v>
      </c>
      <c r="B2232" s="12" t="str">
        <f>IFERROR(__xludf.DUMMYFUNCTION("""COMPUTED_VALUE"""),"PLOW-US")</f>
        <v>PLOW-US</v>
      </c>
      <c r="C2232" s="12"/>
      <c r="D2232" s="17">
        <f>IFERROR(__xludf.DUMMYFUNCTION("""COMPUTED_VALUE"""),45588.0)</f>
        <v>45588</v>
      </c>
      <c r="E2232" s="13">
        <f>IFERROR(__xludf.DUMMYFUNCTION("""COMPUTED_VALUE"""),45776.0)</f>
        <v>45776</v>
      </c>
      <c r="F2232" s="13">
        <f>IFERROR(__xludf.DUMMYFUNCTION("""COMPUTED_VALUE"""),45776.0)</f>
        <v>45776</v>
      </c>
      <c r="G2232" s="12"/>
      <c r="H2232" s="12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</row>
    <row r="2233">
      <c r="A2233" s="11" t="str">
        <f>IFERROR(__xludf.DUMMYFUNCTION("""COMPUTED_VALUE"""),"Rpc Inc  Com")</f>
        <v>Rpc Inc  Com</v>
      </c>
      <c r="B2233" s="12" t="str">
        <f>IFERROR(__xludf.DUMMYFUNCTION("""COMPUTED_VALUE"""),"RES-US")</f>
        <v>RES-US</v>
      </c>
      <c r="C2233" s="12"/>
      <c r="D2233" s="17">
        <f>IFERROR(__xludf.DUMMYFUNCTION("""COMPUTED_VALUE"""),45589.0)</f>
        <v>45589</v>
      </c>
      <c r="E2233" s="13">
        <f>IFERROR(__xludf.DUMMYFUNCTION("""COMPUTED_VALUE"""),45769.0)</f>
        <v>45769</v>
      </c>
      <c r="F2233" s="13">
        <f>IFERROR(__xludf.DUMMYFUNCTION("""COMPUTED_VALUE"""),45769.0)</f>
        <v>45769</v>
      </c>
      <c r="G2233" s="12"/>
      <c r="H2233" s="12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</row>
    <row r="2234">
      <c r="A2234" s="11" t="str">
        <f>IFERROR(__xludf.DUMMYFUNCTION("""COMPUTED_VALUE"""),"Washington Trust Bancorp  Com")</f>
        <v>Washington Trust Bancorp  Com</v>
      </c>
      <c r="B2234" s="12" t="str">
        <f>IFERROR(__xludf.DUMMYFUNCTION("""COMPUTED_VALUE"""),"WASH-US")</f>
        <v>WASH-US</v>
      </c>
      <c r="C2234" s="12"/>
      <c r="D2234" s="17">
        <f>IFERROR(__xludf.DUMMYFUNCTION("""COMPUTED_VALUE"""),45589.0)</f>
        <v>45589</v>
      </c>
      <c r="E2234" s="13">
        <f>IFERROR(__xludf.DUMMYFUNCTION("""COMPUTED_VALUE"""),45769.0)</f>
        <v>45769</v>
      </c>
      <c r="F2234" s="13">
        <f>IFERROR(__xludf.DUMMYFUNCTION("""COMPUTED_VALUE"""),45769.0)</f>
        <v>45769</v>
      </c>
      <c r="G2234" s="12"/>
      <c r="H2234" s="12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</row>
    <row r="2235">
      <c r="A2235" s="11" t="str">
        <f>IFERROR(__xludf.DUMMYFUNCTION("""COMPUTED_VALUE"""),"Bridgewater Bancshares Inc  Com")</f>
        <v>Bridgewater Bancshares Inc  Com</v>
      </c>
      <c r="B2235" s="12" t="str">
        <f>IFERROR(__xludf.DUMMYFUNCTION("""COMPUTED_VALUE"""),"BWB-US")</f>
        <v>BWB-US</v>
      </c>
      <c r="C2235" s="12"/>
      <c r="D2235" s="17">
        <f>IFERROR(__xludf.DUMMYFUNCTION("""COMPUTED_VALUE"""),45589.0)</f>
        <v>45589</v>
      </c>
      <c r="E2235" s="13">
        <f>IFERROR(__xludf.DUMMYFUNCTION("""COMPUTED_VALUE"""),45769.0)</f>
        <v>45769</v>
      </c>
      <c r="F2235" s="13">
        <f>IFERROR(__xludf.DUMMYFUNCTION("""COMPUTED_VALUE"""),45769.0)</f>
        <v>45769</v>
      </c>
      <c r="G2235" s="12"/>
      <c r="H2235" s="12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</row>
    <row r="2236">
      <c r="A2236" s="11" t="str">
        <f>IFERROR(__xludf.DUMMYFUNCTION("""COMPUTED_VALUE"""),"Broadcom Inc Com")</f>
        <v>Broadcom Inc Com</v>
      </c>
      <c r="B2236" s="12" t="str">
        <f>IFERROR(__xludf.DUMMYFUNCTION("""COMPUTED_VALUE"""),"AVGO-US")</f>
        <v>AVGO-US</v>
      </c>
      <c r="C2236" s="12"/>
      <c r="D2236" s="17">
        <f>IFERROR(__xludf.DUMMYFUNCTION("""COMPUTED_VALUE"""),45593.0)</f>
        <v>45593</v>
      </c>
      <c r="E2236" s="13">
        <f>IFERROR(__xludf.DUMMYFUNCTION("""COMPUTED_VALUE"""),45768.0)</f>
        <v>45768</v>
      </c>
      <c r="F2236" s="13">
        <f>IFERROR(__xludf.DUMMYFUNCTION("""COMPUTED_VALUE"""),45768.0)</f>
        <v>45768</v>
      </c>
      <c r="G2236" s="12"/>
      <c r="H2236" s="12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</row>
    <row r="2237">
      <c r="A2237" s="11" t="str">
        <f>IFERROR(__xludf.DUMMYFUNCTION("""COMPUTED_VALUE"""),"Crane Co  Com Wi")</f>
        <v>Crane Co  Com Wi</v>
      </c>
      <c r="B2237" s="12" t="str">
        <f>IFERROR(__xludf.DUMMYFUNCTION("""COMPUTED_VALUE"""),"CR-US")</f>
        <v>CR-US</v>
      </c>
      <c r="C2237" s="12"/>
      <c r="D2237" s="17">
        <f>IFERROR(__xludf.DUMMYFUNCTION("""COMPUTED_VALUE"""),45594.0)</f>
        <v>45594</v>
      </c>
      <c r="E2237" s="13">
        <f>IFERROR(__xludf.DUMMYFUNCTION("""COMPUTED_VALUE"""),45775.0)</f>
        <v>45775</v>
      </c>
      <c r="F2237" s="13">
        <f>IFERROR(__xludf.DUMMYFUNCTION("""COMPUTED_VALUE"""),45775.0)</f>
        <v>45775</v>
      </c>
      <c r="G2237" s="12"/>
      <c r="H2237" s="12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</row>
    <row r="2238">
      <c r="A2238" s="11" t="str">
        <f>IFERROR(__xludf.DUMMYFUNCTION("""COMPUTED_VALUE"""),"Hanesbrands Inc  Com")</f>
        <v>Hanesbrands Inc  Com</v>
      </c>
      <c r="B2238" s="12" t="str">
        <f>IFERROR(__xludf.DUMMYFUNCTION("""COMPUTED_VALUE"""),"HBI-US")</f>
        <v>HBI-US</v>
      </c>
      <c r="C2238" s="12"/>
      <c r="D2238" s="17">
        <f>IFERROR(__xludf.DUMMYFUNCTION("""COMPUTED_VALUE"""),45594.0)</f>
        <v>45594</v>
      </c>
      <c r="E2238" s="13">
        <f>IFERROR(__xludf.DUMMYFUNCTION("""COMPUTED_VALUE"""),45776.0)</f>
        <v>45776</v>
      </c>
      <c r="F2238" s="13">
        <f>IFERROR(__xludf.DUMMYFUNCTION("""COMPUTED_VALUE"""),45776.0)</f>
        <v>45776</v>
      </c>
      <c r="G2238" s="12"/>
      <c r="H2238" s="12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</row>
    <row r="2239">
      <c r="A2239" s="11" t="str">
        <f>IFERROR(__xludf.DUMMYFUNCTION("""COMPUTED_VALUE"""),"Park National Corp  Com")</f>
        <v>Park National Corp  Com</v>
      </c>
      <c r="B2239" s="12" t="str">
        <f>IFERROR(__xludf.DUMMYFUNCTION("""COMPUTED_VALUE"""),"PRK-US")</f>
        <v>PRK-US</v>
      </c>
      <c r="C2239" s="12"/>
      <c r="D2239" s="17">
        <f>IFERROR(__xludf.DUMMYFUNCTION("""COMPUTED_VALUE"""),45594.0)</f>
        <v>45594</v>
      </c>
      <c r="E2239" s="13">
        <f>IFERROR(__xludf.DUMMYFUNCTION("""COMPUTED_VALUE"""),45775.0)</f>
        <v>45775</v>
      </c>
      <c r="F2239" s="13">
        <f>IFERROR(__xludf.DUMMYFUNCTION("""COMPUTED_VALUE"""),45775.0)</f>
        <v>45775</v>
      </c>
      <c r="G2239" s="12"/>
      <c r="H2239" s="12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</row>
    <row r="2240">
      <c r="A2240" s="11" t="str">
        <f>IFERROR(__xludf.DUMMYFUNCTION("""COMPUTED_VALUE"""),"Seaboard Corp  Com")</f>
        <v>Seaboard Corp  Com</v>
      </c>
      <c r="B2240" s="12" t="str">
        <f>IFERROR(__xludf.DUMMYFUNCTION("""COMPUTED_VALUE"""),"SEB-US")</f>
        <v>SEB-US</v>
      </c>
      <c r="C2240" s="12"/>
      <c r="D2240" s="17">
        <f>IFERROR(__xludf.DUMMYFUNCTION("""COMPUTED_VALUE"""),45595.0)</f>
        <v>45595</v>
      </c>
      <c r="E2240" s="13">
        <f>IFERROR(__xludf.DUMMYFUNCTION("""COMPUTED_VALUE"""),45775.0)</f>
        <v>45775</v>
      </c>
      <c r="F2240" s="13">
        <f>IFERROR(__xludf.DUMMYFUNCTION("""COMPUTED_VALUE"""),45775.0)</f>
        <v>45775</v>
      </c>
      <c r="G2240" s="12"/>
      <c r="H2240" s="12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</row>
    <row r="2241">
      <c r="A2241" s="11" t="str">
        <f>IFERROR(__xludf.DUMMYFUNCTION("""COMPUTED_VALUE"""),"L3Harris Technologies Inc  Com")</f>
        <v>L3Harris Technologies Inc  Com</v>
      </c>
      <c r="B2241" s="12" t="str">
        <f>IFERROR(__xludf.DUMMYFUNCTION("""COMPUTED_VALUE"""),"LHX-US")</f>
        <v>LHX-US</v>
      </c>
      <c r="C2241" s="12"/>
      <c r="D2241" s="17">
        <f>IFERROR(__xludf.DUMMYFUNCTION("""COMPUTED_VALUE"""),45596.0)</f>
        <v>45596</v>
      </c>
      <c r="E2241" s="13">
        <f>IFERROR(__xludf.DUMMYFUNCTION("""COMPUTED_VALUE"""),45765.0)</f>
        <v>45765</v>
      </c>
      <c r="F2241" s="13">
        <f>IFERROR(__xludf.DUMMYFUNCTION("""COMPUTED_VALUE"""),45765.0)</f>
        <v>45765</v>
      </c>
      <c r="G2241" s="12"/>
      <c r="H2241" s="12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</row>
    <row r="2242">
      <c r="A2242" s="11" t="str">
        <f>IFERROR(__xludf.DUMMYFUNCTION("""COMPUTED_VALUE"""),"Lincoln Electric Holdings Inc  Com")</f>
        <v>Lincoln Electric Holdings Inc  Com</v>
      </c>
      <c r="B2242" s="12" t="str">
        <f>IFERROR(__xludf.DUMMYFUNCTION("""COMPUTED_VALUE"""),"LECO-US")</f>
        <v>LECO-US</v>
      </c>
      <c r="C2242" s="12"/>
      <c r="D2242" s="17">
        <f>IFERROR(__xludf.DUMMYFUNCTION("""COMPUTED_VALUE"""),45596.0)</f>
        <v>45596</v>
      </c>
      <c r="E2242" s="13">
        <f>IFERROR(__xludf.DUMMYFUNCTION("""COMPUTED_VALUE"""),45771.0)</f>
        <v>45771</v>
      </c>
      <c r="F2242" s="13">
        <f>IFERROR(__xludf.DUMMYFUNCTION("""COMPUTED_VALUE"""),45771.0)</f>
        <v>45771</v>
      </c>
      <c r="G2242" s="12"/>
      <c r="H2242" s="12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</row>
    <row r="2243">
      <c r="A2243" s="11" t="str">
        <f>IFERROR(__xludf.DUMMYFUNCTION("""COMPUTED_VALUE"""),"Wyndham Hotels &amp; Resorts Inc  Com")</f>
        <v>Wyndham Hotels &amp; Resorts Inc  Com</v>
      </c>
      <c r="B2243" s="12" t="str">
        <f>IFERROR(__xludf.DUMMYFUNCTION("""COMPUTED_VALUE"""),"WH-US")</f>
        <v>WH-US</v>
      </c>
      <c r="C2243" s="12"/>
      <c r="D2243" s="13">
        <f>IFERROR(__xludf.DUMMYFUNCTION("""COMPUTED_VALUE"""),45601.0)</f>
        <v>45601</v>
      </c>
      <c r="E2243" s="13">
        <f>IFERROR(__xludf.DUMMYFUNCTION("""COMPUTED_VALUE"""),45792.0)</f>
        <v>45792</v>
      </c>
      <c r="F2243" s="13">
        <f>IFERROR(__xludf.DUMMYFUNCTION("""COMPUTED_VALUE"""),45792.0)</f>
        <v>45792</v>
      </c>
      <c r="G2243" s="12"/>
      <c r="H2243" s="12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</row>
    <row r="2244">
      <c r="A2244" s="11" t="str">
        <f>IFERROR(__xludf.DUMMYFUNCTION("""COMPUTED_VALUE"""),"Portland General Electric Co  Com")</f>
        <v>Portland General Electric Co  Com</v>
      </c>
      <c r="B2244" s="12" t="str">
        <f>IFERROR(__xludf.DUMMYFUNCTION("""COMPUTED_VALUE"""),"POR-US")</f>
        <v>POR-US</v>
      </c>
      <c r="C2244" s="12"/>
      <c r="D2244" s="13">
        <f>IFERROR(__xludf.DUMMYFUNCTION("""COMPUTED_VALUE"""),45601.0)</f>
        <v>45601</v>
      </c>
      <c r="E2244" s="13">
        <f>IFERROR(__xludf.DUMMYFUNCTION("""COMPUTED_VALUE"""),45765.0)</f>
        <v>45765</v>
      </c>
      <c r="F2244" s="13">
        <f>IFERROR(__xludf.DUMMYFUNCTION("""COMPUTED_VALUE"""),45765.0)</f>
        <v>45765</v>
      </c>
      <c r="G2244" s="12"/>
      <c r="H2244" s="12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</row>
    <row r="2245">
      <c r="A2245" s="11" t="str">
        <f>IFERROR(__xludf.DUMMYFUNCTION("""COMPUTED_VALUE"""),"Park Hotels &amp; Resorts Inc  Com")</f>
        <v>Park Hotels &amp; Resorts Inc  Com</v>
      </c>
      <c r="B2245" s="12" t="str">
        <f>IFERROR(__xludf.DUMMYFUNCTION("""COMPUTED_VALUE"""),"PK-US")</f>
        <v>PK-US</v>
      </c>
      <c r="C2245" s="12"/>
      <c r="D2245" s="13">
        <f>IFERROR(__xludf.DUMMYFUNCTION("""COMPUTED_VALUE"""),45601.0)</f>
        <v>45601</v>
      </c>
      <c r="E2245" s="13">
        <f>IFERROR(__xludf.DUMMYFUNCTION("""COMPUTED_VALUE"""),45772.0)</f>
        <v>45772</v>
      </c>
      <c r="F2245" s="13">
        <f>IFERROR(__xludf.DUMMYFUNCTION("""COMPUTED_VALUE"""),45772.0)</f>
        <v>45772</v>
      </c>
      <c r="G2245" s="12"/>
      <c r="H2245" s="12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</row>
    <row r="2246">
      <c r="A2246" s="11" t="str">
        <f>IFERROR(__xludf.DUMMYFUNCTION("""COMPUTED_VALUE"""),"Amn Healthcare Services Inc  Com")</f>
        <v>Amn Healthcare Services Inc  Com</v>
      </c>
      <c r="B2246" s="12" t="str">
        <f>IFERROR(__xludf.DUMMYFUNCTION("""COMPUTED_VALUE"""),"AMN-US")</f>
        <v>AMN-US</v>
      </c>
      <c r="C2246" s="12"/>
      <c r="D2246" s="13">
        <f>IFERROR(__xludf.DUMMYFUNCTION("""COMPUTED_VALUE"""),45602.0)</f>
        <v>45602</v>
      </c>
      <c r="E2246" s="13">
        <f>IFERROR(__xludf.DUMMYFUNCTION("""COMPUTED_VALUE"""),45779.0)</f>
        <v>45779</v>
      </c>
      <c r="F2246" s="13">
        <f>IFERROR(__xludf.DUMMYFUNCTION("""COMPUTED_VALUE"""),45779.0)</f>
        <v>45779</v>
      </c>
      <c r="G2246" s="12"/>
      <c r="H2246" s="12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</row>
    <row r="2247">
      <c r="A2247" s="11" t="str">
        <f>IFERROR(__xludf.DUMMYFUNCTION("""COMPUTED_VALUE"""),"Kkr Real Estate Finance Trust  Com")</f>
        <v>Kkr Real Estate Finance Trust  Com</v>
      </c>
      <c r="B2247" s="12" t="str">
        <f>IFERROR(__xludf.DUMMYFUNCTION("""COMPUTED_VALUE"""),"KREF-US")</f>
        <v>KREF-US</v>
      </c>
      <c r="C2247" s="12"/>
      <c r="D2247" s="13">
        <f>IFERROR(__xludf.DUMMYFUNCTION("""COMPUTED_VALUE"""),45602.0)</f>
        <v>45602</v>
      </c>
      <c r="E2247" s="13">
        <f>IFERROR(__xludf.DUMMYFUNCTION("""COMPUTED_VALUE"""),45772.0)</f>
        <v>45772</v>
      </c>
      <c r="F2247" s="13">
        <f>IFERROR(__xludf.DUMMYFUNCTION("""COMPUTED_VALUE"""),45772.0)</f>
        <v>45772</v>
      </c>
      <c r="G2247" s="12"/>
      <c r="H2247" s="12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</row>
    <row r="2248">
      <c r="A2248" s="11" t="str">
        <f>IFERROR(__xludf.DUMMYFUNCTION("""COMPUTED_VALUE"""),"Carrier Global Corp  Com")</f>
        <v>Carrier Global Corp  Com</v>
      </c>
      <c r="B2248" s="12" t="str">
        <f>IFERROR(__xludf.DUMMYFUNCTION("""COMPUTED_VALUE"""),"CARR-US")</f>
        <v>CARR-US</v>
      </c>
      <c r="C2248" s="12"/>
      <c r="D2248" s="13">
        <f>IFERROR(__xludf.DUMMYFUNCTION("""COMPUTED_VALUE"""),45602.0)</f>
        <v>45602</v>
      </c>
      <c r="E2248" s="13">
        <f>IFERROR(__xludf.DUMMYFUNCTION("""COMPUTED_VALUE"""),45756.0)</f>
        <v>45756</v>
      </c>
      <c r="F2248" s="13">
        <f>IFERROR(__xludf.DUMMYFUNCTION("""COMPUTED_VALUE"""),45756.0)</f>
        <v>45756</v>
      </c>
      <c r="G2248" s="12"/>
      <c r="H2248" s="12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</row>
    <row r="2249">
      <c r="A2249" s="11" t="str">
        <f>IFERROR(__xludf.DUMMYFUNCTION("""COMPUTED_VALUE"""),"Humana Inc  Com")</f>
        <v>Humana Inc  Com</v>
      </c>
      <c r="B2249" s="12" t="str">
        <f>IFERROR(__xludf.DUMMYFUNCTION("""COMPUTED_VALUE"""),"HUM-US")</f>
        <v>HUM-US</v>
      </c>
      <c r="C2249" s="12"/>
      <c r="D2249" s="13">
        <f>IFERROR(__xludf.DUMMYFUNCTION("""COMPUTED_VALUE"""),45602.0)</f>
        <v>45602</v>
      </c>
      <c r="E2249" s="13">
        <f>IFERROR(__xludf.DUMMYFUNCTION("""COMPUTED_VALUE"""),45764.0)</f>
        <v>45764</v>
      </c>
      <c r="F2249" s="13">
        <f>IFERROR(__xludf.DUMMYFUNCTION("""COMPUTED_VALUE"""),45764.0)</f>
        <v>45764</v>
      </c>
      <c r="G2249" s="12"/>
      <c r="H2249" s="12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</row>
    <row r="2250">
      <c r="A2250" s="11" t="str">
        <f>IFERROR(__xludf.DUMMYFUNCTION("""COMPUTED_VALUE"""),"Ppg Industries Inc  Com")</f>
        <v>Ppg Industries Inc  Com</v>
      </c>
      <c r="B2250" s="12" t="str">
        <f>IFERROR(__xludf.DUMMYFUNCTION("""COMPUTED_VALUE"""),"PPG-US")</f>
        <v>PPG-US</v>
      </c>
      <c r="C2250" s="12"/>
      <c r="D2250" s="13">
        <f>IFERROR(__xludf.DUMMYFUNCTION("""COMPUTED_VALUE"""),45602.0)</f>
        <v>45602</v>
      </c>
      <c r="E2250" s="13">
        <f>IFERROR(__xludf.DUMMYFUNCTION("""COMPUTED_VALUE"""),45764.0)</f>
        <v>45764</v>
      </c>
      <c r="F2250" s="13">
        <f>IFERROR(__xludf.DUMMYFUNCTION("""COMPUTED_VALUE"""),45764.0)</f>
        <v>45764</v>
      </c>
      <c r="G2250" s="12"/>
      <c r="H2250" s="12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</row>
    <row r="2251">
      <c r="A2251" s="11" t="str">
        <f>IFERROR(__xludf.DUMMYFUNCTION("""COMPUTED_VALUE"""),"Interactive Brokers Group Inc  Cl A")</f>
        <v>Interactive Brokers Group Inc  Cl A</v>
      </c>
      <c r="B2251" s="12" t="str">
        <f>IFERROR(__xludf.DUMMYFUNCTION("""COMPUTED_VALUE"""),"IBKR-US")</f>
        <v>IBKR-US</v>
      </c>
      <c r="C2251" s="12"/>
      <c r="D2251" s="13">
        <f>IFERROR(__xludf.DUMMYFUNCTION("""COMPUTED_VALUE"""),45602.0)</f>
        <v>45602</v>
      </c>
      <c r="E2251" s="13">
        <f>IFERROR(__xludf.DUMMYFUNCTION("""COMPUTED_VALUE"""),45764.0)</f>
        <v>45764</v>
      </c>
      <c r="F2251" s="13">
        <f>IFERROR(__xludf.DUMMYFUNCTION("""COMPUTED_VALUE"""),45764.0)</f>
        <v>45764</v>
      </c>
      <c r="G2251" s="12"/>
      <c r="H2251" s="12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</row>
    <row r="2252">
      <c r="A2252" s="11" t="str">
        <f>IFERROR(__xludf.DUMMYFUNCTION("""COMPUTED_VALUE"""),"Cf Industries Holdings Inc  Com")</f>
        <v>Cf Industries Holdings Inc  Com</v>
      </c>
      <c r="B2252" s="12" t="str">
        <f>IFERROR(__xludf.DUMMYFUNCTION("""COMPUTED_VALUE"""),"CF-US")</f>
        <v>CF-US</v>
      </c>
      <c r="C2252" s="12"/>
      <c r="D2252" s="13">
        <f>IFERROR(__xludf.DUMMYFUNCTION("""COMPUTED_VALUE"""),45602.0)</f>
        <v>45602</v>
      </c>
      <c r="E2252" s="13">
        <f>IFERROR(__xludf.DUMMYFUNCTION("""COMPUTED_VALUE"""),45783.0)</f>
        <v>45783</v>
      </c>
      <c r="F2252" s="13">
        <f>IFERROR(__xludf.DUMMYFUNCTION("""COMPUTED_VALUE"""),45783.0)</f>
        <v>45783</v>
      </c>
      <c r="G2252" s="12"/>
      <c r="H2252" s="12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</row>
    <row r="2253">
      <c r="A2253" s="11" t="str">
        <f>IFERROR(__xludf.DUMMYFUNCTION("""COMPUTED_VALUE"""),"Owens Corning  Com")</f>
        <v>Owens Corning  Com</v>
      </c>
      <c r="B2253" s="12" t="str">
        <f>IFERROR(__xludf.DUMMYFUNCTION("""COMPUTED_VALUE"""),"OC-US")</f>
        <v>OC-US</v>
      </c>
      <c r="C2253" s="12"/>
      <c r="D2253" s="13">
        <f>IFERROR(__xludf.DUMMYFUNCTION("""COMPUTED_VALUE"""),45602.0)</f>
        <v>45602</v>
      </c>
      <c r="E2253" s="13">
        <f>IFERROR(__xludf.DUMMYFUNCTION("""COMPUTED_VALUE"""),45762.0)</f>
        <v>45762</v>
      </c>
      <c r="F2253" s="13">
        <f>IFERROR(__xludf.DUMMYFUNCTION("""COMPUTED_VALUE"""),45762.0)</f>
        <v>45762</v>
      </c>
      <c r="G2253" s="12"/>
      <c r="H2253" s="12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</row>
    <row r="2254">
      <c r="A2254" s="11" t="str">
        <f>IFERROR(__xludf.DUMMYFUNCTION("""COMPUTED_VALUE"""),"Agnc Investment Corp  Com")</f>
        <v>Agnc Investment Corp  Com</v>
      </c>
      <c r="B2254" s="12" t="str">
        <f>IFERROR(__xludf.DUMMYFUNCTION("""COMPUTED_VALUE"""),"AGNC-US")</f>
        <v>AGNC-US</v>
      </c>
      <c r="C2254" s="12"/>
      <c r="D2254" s="13">
        <f>IFERROR(__xludf.DUMMYFUNCTION("""COMPUTED_VALUE"""),45602.0)</f>
        <v>45602</v>
      </c>
      <c r="E2254" s="13">
        <f>IFERROR(__xludf.DUMMYFUNCTION("""COMPUTED_VALUE"""),45764.0)</f>
        <v>45764</v>
      </c>
      <c r="F2254" s="13">
        <f>IFERROR(__xludf.DUMMYFUNCTION("""COMPUTED_VALUE"""),45764.0)</f>
        <v>45764</v>
      </c>
      <c r="G2254" s="12"/>
      <c r="H2254" s="12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</row>
    <row r="2255">
      <c r="A2255" s="11" t="str">
        <f>IFERROR(__xludf.DUMMYFUNCTION("""COMPUTED_VALUE"""),"Home Bancshares Inc  Com")</f>
        <v>Home Bancshares Inc  Com</v>
      </c>
      <c r="B2255" s="12" t="str">
        <f>IFERROR(__xludf.DUMMYFUNCTION("""COMPUTED_VALUE"""),"HOMB-US")</f>
        <v>HOMB-US</v>
      </c>
      <c r="C2255" s="12"/>
      <c r="D2255" s="13">
        <f>IFERROR(__xludf.DUMMYFUNCTION("""COMPUTED_VALUE"""),45603.0)</f>
        <v>45603</v>
      </c>
      <c r="E2255" s="13">
        <f>IFERROR(__xludf.DUMMYFUNCTION("""COMPUTED_VALUE"""),45764.0)</f>
        <v>45764</v>
      </c>
      <c r="F2255" s="13">
        <f>IFERROR(__xludf.DUMMYFUNCTION("""COMPUTED_VALUE"""),45764.0)</f>
        <v>45764</v>
      </c>
      <c r="G2255" s="12"/>
      <c r="H2255" s="12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</row>
    <row r="2256">
      <c r="A2256" s="11" t="str">
        <f>IFERROR(__xludf.DUMMYFUNCTION("""COMPUTED_VALUE"""),"Kontoor Brands Inc  Com")</f>
        <v>Kontoor Brands Inc  Com</v>
      </c>
      <c r="B2256" s="12" t="str">
        <f>IFERROR(__xludf.DUMMYFUNCTION("""COMPUTED_VALUE"""),"KTB-US")</f>
        <v>KTB-US</v>
      </c>
      <c r="C2256" s="12"/>
      <c r="D2256" s="13">
        <f>IFERROR(__xludf.DUMMYFUNCTION("""COMPUTED_VALUE"""),45603.0)</f>
        <v>45603</v>
      </c>
      <c r="E2256" s="13">
        <f>IFERROR(__xludf.DUMMYFUNCTION("""COMPUTED_VALUE"""),45771.0)</f>
        <v>45771</v>
      </c>
      <c r="F2256" s="13">
        <f>IFERROR(__xludf.DUMMYFUNCTION("""COMPUTED_VALUE"""),45771.0)</f>
        <v>45771</v>
      </c>
      <c r="G2256" s="12"/>
      <c r="H2256" s="12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</row>
    <row r="2257">
      <c r="A2257" s="11" t="str">
        <f>IFERROR(__xludf.DUMMYFUNCTION("""COMPUTED_VALUE"""),"Kb Home  Com")</f>
        <v>Kb Home  Com</v>
      </c>
      <c r="B2257" s="12" t="str">
        <f>IFERROR(__xludf.DUMMYFUNCTION("""COMPUTED_VALUE"""),"KBH-US")</f>
        <v>KBH-US</v>
      </c>
      <c r="C2257" s="12"/>
      <c r="D2257" s="13">
        <f>IFERROR(__xludf.DUMMYFUNCTION("""COMPUTED_VALUE"""),45603.0)</f>
        <v>45603</v>
      </c>
      <c r="E2257" s="13">
        <f>IFERROR(__xludf.DUMMYFUNCTION("""COMPUTED_VALUE"""),45764.0)</f>
        <v>45764</v>
      </c>
      <c r="F2257" s="13">
        <f>IFERROR(__xludf.DUMMYFUNCTION("""COMPUTED_VALUE"""),45764.0)</f>
        <v>45764</v>
      </c>
      <c r="G2257" s="12"/>
      <c r="H2257" s="12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</row>
    <row r="2258">
      <c r="A2258" s="11" t="str">
        <f>IFERROR(__xludf.DUMMYFUNCTION("""COMPUTED_VALUE"""),"Silicon Laboratories Inc  Com")</f>
        <v>Silicon Laboratories Inc  Com</v>
      </c>
      <c r="B2258" s="12" t="str">
        <f>IFERROR(__xludf.DUMMYFUNCTION("""COMPUTED_VALUE"""),"SLAB-US")</f>
        <v>SLAB-US</v>
      </c>
      <c r="C2258" s="12"/>
      <c r="D2258" s="13">
        <f>IFERROR(__xludf.DUMMYFUNCTION("""COMPUTED_VALUE"""),45238.0)</f>
        <v>45238</v>
      </c>
      <c r="E2258" s="13">
        <f>IFERROR(__xludf.DUMMYFUNCTION("""COMPUTED_VALUE"""),45771.0)</f>
        <v>45771</v>
      </c>
      <c r="F2258" s="13">
        <f>IFERROR(__xludf.DUMMYFUNCTION("""COMPUTED_VALUE"""),45771.0)</f>
        <v>45771</v>
      </c>
      <c r="G2258" s="12"/>
      <c r="H2258" s="12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</row>
    <row r="2259">
      <c r="A2259" s="11" t="str">
        <f>IFERROR(__xludf.DUMMYFUNCTION("""COMPUTED_VALUE"""),"Northwest Bancshares Inc  Com")</f>
        <v>Northwest Bancshares Inc  Com</v>
      </c>
      <c r="B2259" s="12" t="str">
        <f>IFERROR(__xludf.DUMMYFUNCTION("""COMPUTED_VALUE"""),"NWBI-US")</f>
        <v>NWBI-US</v>
      </c>
      <c r="C2259" s="12"/>
      <c r="D2259" s="13">
        <f>IFERROR(__xludf.DUMMYFUNCTION("""COMPUTED_VALUE"""),45604.0)</f>
        <v>45604</v>
      </c>
      <c r="E2259" s="13">
        <f>IFERROR(__xludf.DUMMYFUNCTION("""COMPUTED_VALUE"""),45764.0)</f>
        <v>45764</v>
      </c>
      <c r="F2259" s="13">
        <f>IFERROR(__xludf.DUMMYFUNCTION("""COMPUTED_VALUE"""),45764.0)</f>
        <v>45764</v>
      </c>
      <c r="G2259" s="12"/>
      <c r="H2259" s="12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</row>
    <row r="2260">
      <c r="A2260" s="11" t="str">
        <f>IFERROR(__xludf.DUMMYFUNCTION("""COMPUTED_VALUE"""),"Enviri Corp  Com")</f>
        <v>Enviri Corp  Com</v>
      </c>
      <c r="B2260" s="12" t="str">
        <f>IFERROR(__xludf.DUMMYFUNCTION("""COMPUTED_VALUE"""),"NVRI-US")</f>
        <v>NVRI-US</v>
      </c>
      <c r="C2260" s="12"/>
      <c r="D2260" s="13">
        <f>IFERROR(__xludf.DUMMYFUNCTION("""COMPUTED_VALUE"""),45604.0)</f>
        <v>45604</v>
      </c>
      <c r="E2260" s="13">
        <f>IFERROR(__xludf.DUMMYFUNCTION("""COMPUTED_VALUE"""),45771.0)</f>
        <v>45771</v>
      </c>
      <c r="F2260" s="13">
        <f>IFERROR(__xludf.DUMMYFUNCTION("""COMPUTED_VALUE"""),45771.0)</f>
        <v>45771</v>
      </c>
      <c r="G2260" s="12"/>
      <c r="H2260" s="12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</row>
    <row r="2261">
      <c r="A2261" s="11" t="str">
        <f>IFERROR(__xludf.DUMMYFUNCTION("""COMPUTED_VALUE"""),"Farmers National Banc Corp  Com")</f>
        <v>Farmers National Banc Corp  Com</v>
      </c>
      <c r="B2261" s="12" t="str">
        <f>IFERROR(__xludf.DUMMYFUNCTION("""COMPUTED_VALUE"""),"FMNB-US")</f>
        <v>FMNB-US</v>
      </c>
      <c r="C2261" s="12"/>
      <c r="D2261" s="17">
        <f>IFERROR(__xludf.DUMMYFUNCTION("""COMPUTED_VALUE"""),45608.0)</f>
        <v>45608</v>
      </c>
      <c r="E2261" s="13">
        <f>IFERROR(__xludf.DUMMYFUNCTION("""COMPUTED_VALUE"""),45764.0)</f>
        <v>45764</v>
      </c>
      <c r="F2261" s="13">
        <f>IFERROR(__xludf.DUMMYFUNCTION("""COMPUTED_VALUE"""),45764.0)</f>
        <v>45764</v>
      </c>
      <c r="G2261" s="12"/>
      <c r="H2261" s="12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</row>
    <row r="2262">
      <c r="A2262" s="11" t="str">
        <f>IFERROR(__xludf.DUMMYFUNCTION("""COMPUTED_VALUE"""),"Donegal Group Inc  Cl A")</f>
        <v>Donegal Group Inc  Cl A</v>
      </c>
      <c r="B2262" s="12" t="str">
        <f>IFERROR(__xludf.DUMMYFUNCTION("""COMPUTED_VALUE"""),"DGICA-US")</f>
        <v>DGICA-US</v>
      </c>
      <c r="C2262" s="12"/>
      <c r="D2262" s="17">
        <f>IFERROR(__xludf.DUMMYFUNCTION("""COMPUTED_VALUE"""),45608.0)</f>
        <v>45608</v>
      </c>
      <c r="E2262" s="13">
        <f>IFERROR(__xludf.DUMMYFUNCTION("""COMPUTED_VALUE"""),45764.0)</f>
        <v>45764</v>
      </c>
      <c r="F2262" s="13">
        <f>IFERROR(__xludf.DUMMYFUNCTION("""COMPUTED_VALUE"""),45764.0)</f>
        <v>45764</v>
      </c>
      <c r="G2262" s="12"/>
      <c r="H2262" s="12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</row>
    <row r="2263">
      <c r="A2263" s="11" t="str">
        <f>IFERROR(__xludf.DUMMYFUNCTION("""COMPUTED_VALUE"""),"Sherwin Williams Co  Com")</f>
        <v>Sherwin Williams Co  Com</v>
      </c>
      <c r="B2263" s="12" t="str">
        <f>IFERROR(__xludf.DUMMYFUNCTION("""COMPUTED_VALUE"""),"SHW-US")</f>
        <v>SHW-US</v>
      </c>
      <c r="C2263" s="12"/>
      <c r="D2263" s="17">
        <f>IFERROR(__xludf.DUMMYFUNCTION("""COMPUTED_VALUE"""),45608.0)</f>
        <v>45608</v>
      </c>
      <c r="E2263" s="13">
        <f>IFERROR(__xludf.DUMMYFUNCTION("""COMPUTED_VALUE"""),45763.0)</f>
        <v>45763</v>
      </c>
      <c r="F2263" s="13">
        <f>IFERROR(__xludf.DUMMYFUNCTION("""COMPUTED_VALUE"""),45763.0)</f>
        <v>45763</v>
      </c>
      <c r="G2263" s="12"/>
      <c r="H2263" s="12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</row>
    <row r="2264">
      <c r="A2264" s="11" t="str">
        <f>IFERROR(__xludf.DUMMYFUNCTION("""COMPUTED_VALUE"""),"Eqt Corp  Com")</f>
        <v>Eqt Corp  Com</v>
      </c>
      <c r="B2264" s="12" t="str">
        <f>IFERROR(__xludf.DUMMYFUNCTION("""COMPUTED_VALUE"""),"EQT-US")</f>
        <v>EQT-US</v>
      </c>
      <c r="C2264" s="12"/>
      <c r="D2264" s="17">
        <f>IFERROR(__xludf.DUMMYFUNCTION("""COMPUTED_VALUE"""),45609.0)</f>
        <v>45609</v>
      </c>
      <c r="E2264" s="13">
        <f>IFERROR(__xludf.DUMMYFUNCTION("""COMPUTED_VALUE"""),45763.0)</f>
        <v>45763</v>
      </c>
      <c r="F2264" s="13">
        <f>IFERROR(__xludf.DUMMYFUNCTION("""COMPUTED_VALUE"""),45763.0)</f>
        <v>45763</v>
      </c>
      <c r="G2264" s="12"/>
      <c r="H2264" s="12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</row>
    <row r="2265">
      <c r="A2265" s="11" t="str">
        <f>IFERROR(__xludf.DUMMYFUNCTION("""COMPUTED_VALUE"""),"Huntington Bancshares Inc  Com")</f>
        <v>Huntington Bancshares Inc  Com</v>
      </c>
      <c r="B2265" s="12" t="str">
        <f>IFERROR(__xludf.DUMMYFUNCTION("""COMPUTED_VALUE"""),"HBAN-US")</f>
        <v>HBAN-US</v>
      </c>
      <c r="C2265" s="12"/>
      <c r="D2265" s="17">
        <f>IFERROR(__xludf.DUMMYFUNCTION("""COMPUTED_VALUE"""),45609.0)</f>
        <v>45609</v>
      </c>
      <c r="E2265" s="13">
        <f>IFERROR(__xludf.DUMMYFUNCTION("""COMPUTED_VALUE"""),45763.0)</f>
        <v>45763</v>
      </c>
      <c r="F2265" s="13">
        <f>IFERROR(__xludf.DUMMYFUNCTION("""COMPUTED_VALUE"""),45763.0)</f>
        <v>45763</v>
      </c>
      <c r="G2265" s="12"/>
      <c r="H2265" s="12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</row>
    <row r="2266">
      <c r="A2266" s="11" t="str">
        <f>IFERROR(__xludf.DUMMYFUNCTION("""COMPUTED_VALUE"""),"Regions Financial Corp  Com")</f>
        <v>Regions Financial Corp  Com</v>
      </c>
      <c r="B2266" s="12" t="str">
        <f>IFERROR(__xludf.DUMMYFUNCTION("""COMPUTED_VALUE"""),"RF-US")</f>
        <v>RF-US</v>
      </c>
      <c r="C2266" s="12"/>
      <c r="D2266" s="17">
        <f>IFERROR(__xludf.DUMMYFUNCTION("""COMPUTED_VALUE"""),45609.0)</f>
        <v>45609</v>
      </c>
      <c r="E2266" s="13">
        <f>IFERROR(__xludf.DUMMYFUNCTION("""COMPUTED_VALUE"""),45763.0)</f>
        <v>45763</v>
      </c>
      <c r="F2266" s="13">
        <f>IFERROR(__xludf.DUMMYFUNCTION("""COMPUTED_VALUE"""),45763.0)</f>
        <v>45763</v>
      </c>
      <c r="G2266" s="12"/>
      <c r="H2266" s="12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</row>
    <row r="2267">
      <c r="A2267" s="11" t="str">
        <f>IFERROR(__xludf.DUMMYFUNCTION("""COMPUTED_VALUE"""),"Commerce Bancshares Inc /Mo/  Com")</f>
        <v>Commerce Bancshares Inc /Mo/  Com</v>
      </c>
      <c r="B2267" s="12" t="str">
        <f>IFERROR(__xludf.DUMMYFUNCTION("""COMPUTED_VALUE"""),"CBSH-US")</f>
        <v>CBSH-US</v>
      </c>
      <c r="C2267" s="12"/>
      <c r="D2267" s="17">
        <f>IFERROR(__xludf.DUMMYFUNCTION("""COMPUTED_VALUE"""),45610.0)</f>
        <v>45610</v>
      </c>
      <c r="E2267" s="13">
        <f>IFERROR(__xludf.DUMMYFUNCTION("""COMPUTED_VALUE"""),45772.0)</f>
        <v>45772</v>
      </c>
      <c r="F2267" s="13">
        <f>IFERROR(__xludf.DUMMYFUNCTION("""COMPUTED_VALUE"""),45772.0)</f>
        <v>45772</v>
      </c>
      <c r="G2267" s="12"/>
      <c r="H2267" s="12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</row>
    <row r="2268">
      <c r="A2268" s="11" t="str">
        <f>IFERROR(__xludf.DUMMYFUNCTION("""COMPUTED_VALUE"""),"Sonoco Products Co  Com")</f>
        <v>Sonoco Products Co  Com</v>
      </c>
      <c r="B2268" s="12" t="str">
        <f>IFERROR(__xludf.DUMMYFUNCTION("""COMPUTED_VALUE"""),"SON-US")</f>
        <v>SON-US</v>
      </c>
      <c r="C2268" s="12"/>
      <c r="D2268" s="17">
        <f>IFERROR(__xludf.DUMMYFUNCTION("""COMPUTED_VALUE"""),45610.0)</f>
        <v>45610</v>
      </c>
      <c r="E2268" s="13">
        <f>IFERROR(__xludf.DUMMYFUNCTION("""COMPUTED_VALUE"""),45763.0)</f>
        <v>45763</v>
      </c>
      <c r="F2268" s="13">
        <f>IFERROR(__xludf.DUMMYFUNCTION("""COMPUTED_VALUE"""),45763.0)</f>
        <v>45763</v>
      </c>
      <c r="G2268" s="12"/>
      <c r="H2268" s="12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</row>
    <row r="2269">
      <c r="A2269" s="11" t="str">
        <f>IFERROR(__xludf.DUMMYFUNCTION("""COMPUTED_VALUE"""),"Tri Pointe Homes Inc  Com")</f>
        <v>Tri Pointe Homes Inc  Com</v>
      </c>
      <c r="B2269" s="12" t="str">
        <f>IFERROR(__xludf.DUMMYFUNCTION("""COMPUTED_VALUE"""),"TPH-US")</f>
        <v>TPH-US</v>
      </c>
      <c r="C2269" s="12"/>
      <c r="D2269" s="17">
        <f>IFERROR(__xludf.DUMMYFUNCTION("""COMPUTED_VALUE"""),45610.0)</f>
        <v>45610</v>
      </c>
      <c r="E2269" s="13">
        <f>IFERROR(__xludf.DUMMYFUNCTION("""COMPUTED_VALUE"""),45763.0)</f>
        <v>45763</v>
      </c>
      <c r="F2269" s="13">
        <f>IFERROR(__xludf.DUMMYFUNCTION("""COMPUTED_VALUE"""),45763.0)</f>
        <v>45763</v>
      </c>
      <c r="G2269" s="12"/>
      <c r="H2269" s="12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</row>
    <row r="2270">
      <c r="A2270" s="11" t="str">
        <f>IFERROR(__xludf.DUMMYFUNCTION("""COMPUTED_VALUE"""),"Seadrill Ltd  Ord")</f>
        <v>Seadrill Ltd  Ord</v>
      </c>
      <c r="B2270" s="12" t="str">
        <f>IFERROR(__xludf.DUMMYFUNCTION("""COMPUTED_VALUE"""),"SDRL-US")</f>
        <v>SDRL-US</v>
      </c>
      <c r="C2270" s="12"/>
      <c r="D2270" s="17">
        <f>IFERROR(__xludf.DUMMYFUNCTION("""COMPUTED_VALUE"""),45610.0)</f>
        <v>45610</v>
      </c>
      <c r="E2270" s="13">
        <f>IFERROR(__xludf.DUMMYFUNCTION("""COMPUTED_VALUE"""),45791.0)</f>
        <v>45791</v>
      </c>
      <c r="F2270" s="13">
        <f>IFERROR(__xludf.DUMMYFUNCTION("""COMPUTED_VALUE"""),45791.0)</f>
        <v>45791</v>
      </c>
      <c r="G2270" s="12"/>
      <c r="H2270" s="12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</row>
    <row r="2271">
      <c r="A2271" s="11" t="str">
        <f>IFERROR(__xludf.DUMMYFUNCTION("""COMPUTED_VALUE"""),"Wesbanco Inc  Com")</f>
        <v>Wesbanco Inc  Com</v>
      </c>
      <c r="B2271" s="12" t="str">
        <f>IFERROR(__xludf.DUMMYFUNCTION("""COMPUTED_VALUE"""),"WSBC-US")</f>
        <v>WSBC-US</v>
      </c>
      <c r="C2271" s="12"/>
      <c r="D2271" s="17">
        <f>IFERROR(__xludf.DUMMYFUNCTION("""COMPUTED_VALUE"""),45610.0)</f>
        <v>45610</v>
      </c>
      <c r="E2271" s="13">
        <f>IFERROR(__xludf.DUMMYFUNCTION("""COMPUTED_VALUE"""),45763.0)</f>
        <v>45763</v>
      </c>
      <c r="F2271" s="13">
        <f>IFERROR(__xludf.DUMMYFUNCTION("""COMPUTED_VALUE"""),45763.0)</f>
        <v>45763</v>
      </c>
      <c r="G2271" s="12"/>
      <c r="H2271" s="12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</row>
    <row r="2272">
      <c r="A2272" s="11" t="str">
        <f>IFERROR(__xludf.DUMMYFUNCTION("""COMPUTED_VALUE"""),"First Financial Corp/In  Com")</f>
        <v>First Financial Corp/In  Com</v>
      </c>
      <c r="B2272" s="12" t="str">
        <f>IFERROR(__xludf.DUMMYFUNCTION("""COMPUTED_VALUE"""),"THFF-US")</f>
        <v>THFF-US</v>
      </c>
      <c r="C2272" s="12"/>
      <c r="D2272" s="17">
        <f>IFERROR(__xludf.DUMMYFUNCTION("""COMPUTED_VALUE"""),45610.0)</f>
        <v>45610</v>
      </c>
      <c r="E2272" s="13">
        <f>IFERROR(__xludf.DUMMYFUNCTION("""COMPUTED_VALUE"""),45763.0)</f>
        <v>45763</v>
      </c>
      <c r="F2272" s="13">
        <f>IFERROR(__xludf.DUMMYFUNCTION("""COMPUTED_VALUE"""),45763.0)</f>
        <v>45763</v>
      </c>
      <c r="G2272" s="12"/>
      <c r="H2272" s="12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</row>
    <row r="2273">
      <c r="A2273" s="11" t="str">
        <f>IFERROR(__xludf.DUMMYFUNCTION("""COMPUTED_VALUE"""),"Us Bancorp/De  Com")</f>
        <v>Us Bancorp/De  Com</v>
      </c>
      <c r="B2273" s="12" t="str">
        <f>IFERROR(__xludf.DUMMYFUNCTION("""COMPUTED_VALUE"""),"USB-US")</f>
        <v>USB-US</v>
      </c>
      <c r="C2273" s="12"/>
      <c r="D2273" s="17">
        <f>IFERROR(__xludf.DUMMYFUNCTION("""COMPUTED_VALUE"""),44880.0)</f>
        <v>44880</v>
      </c>
      <c r="E2273" s="13">
        <f>IFERROR(__xludf.DUMMYFUNCTION("""COMPUTED_VALUE"""),45762.0)</f>
        <v>45762</v>
      </c>
      <c r="F2273" s="13">
        <f>IFERROR(__xludf.DUMMYFUNCTION("""COMPUTED_VALUE"""),45762.0)</f>
        <v>45762</v>
      </c>
      <c r="G2273" s="12"/>
      <c r="H2273" s="12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</row>
    <row r="2274">
      <c r="A2274" s="11" t="str">
        <f>IFERROR(__xludf.DUMMYFUNCTION("""COMPUTED_VALUE"""),"Moodys Corp  Com")</f>
        <v>Moodys Corp  Com</v>
      </c>
      <c r="B2274" s="12" t="str">
        <f>IFERROR(__xludf.DUMMYFUNCTION("""COMPUTED_VALUE"""),"MCO-US")</f>
        <v>MCO-US</v>
      </c>
      <c r="C2274" s="12"/>
      <c r="D2274" s="17">
        <f>IFERROR(__xludf.DUMMYFUNCTION("""COMPUTED_VALUE"""),45611.0)</f>
        <v>45611</v>
      </c>
      <c r="E2274" s="13">
        <f>IFERROR(__xludf.DUMMYFUNCTION("""COMPUTED_VALUE"""),45762.0)</f>
        <v>45762</v>
      </c>
      <c r="F2274" s="13">
        <f>IFERROR(__xludf.DUMMYFUNCTION("""COMPUTED_VALUE"""),45762.0)</f>
        <v>45762</v>
      </c>
      <c r="G2274" s="12"/>
      <c r="H2274" s="12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</row>
    <row r="2275">
      <c r="A2275" s="11" t="str">
        <f>IFERROR(__xludf.DUMMYFUNCTION("""COMPUTED_VALUE"""),"Public Service Enterprise Group  Com")</f>
        <v>Public Service Enterprise Group  Com</v>
      </c>
      <c r="B2275" s="12" t="str">
        <f>IFERROR(__xludf.DUMMYFUNCTION("""COMPUTED_VALUE"""),"PEG-US")</f>
        <v>PEG-US</v>
      </c>
      <c r="C2275" s="12"/>
      <c r="D2275" s="17">
        <f>IFERROR(__xludf.DUMMYFUNCTION("""COMPUTED_VALUE"""),45611.0)</f>
        <v>45611</v>
      </c>
      <c r="E2275" s="13">
        <f>IFERROR(__xludf.DUMMYFUNCTION("""COMPUTED_VALUE"""),45769.0)</f>
        <v>45769</v>
      </c>
      <c r="F2275" s="13">
        <f>IFERROR(__xludf.DUMMYFUNCTION("""COMPUTED_VALUE"""),45769.0)</f>
        <v>45769</v>
      </c>
      <c r="G2275" s="12"/>
      <c r="H2275" s="12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</row>
    <row r="2276">
      <c r="A2276" s="11" t="str">
        <f>IFERROR(__xludf.DUMMYFUNCTION("""COMPUTED_VALUE"""),"Iqvia Holdings Inc  Com")</f>
        <v>Iqvia Holdings Inc  Com</v>
      </c>
      <c r="B2276" s="12" t="str">
        <f>IFERROR(__xludf.DUMMYFUNCTION("""COMPUTED_VALUE"""),"IQV-US")</f>
        <v>IQV-US</v>
      </c>
      <c r="C2276" s="12"/>
      <c r="D2276" s="17">
        <f>IFERROR(__xludf.DUMMYFUNCTION("""COMPUTED_VALUE"""),45615.0)</f>
        <v>45615</v>
      </c>
      <c r="E2276" s="13">
        <f>IFERROR(__xludf.DUMMYFUNCTION("""COMPUTED_VALUE"""),45771.0)</f>
        <v>45771</v>
      </c>
      <c r="F2276" s="13">
        <f>IFERROR(__xludf.DUMMYFUNCTION("""COMPUTED_VALUE"""),45771.0)</f>
        <v>45771</v>
      </c>
      <c r="G2276" s="12"/>
      <c r="H2276" s="12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</row>
    <row r="2277">
      <c r="A2277" s="11" t="str">
        <f>IFERROR(__xludf.DUMMYFUNCTION("""COMPUTED_VALUE"""),"M&amp;T Bank Corp  Com")</f>
        <v>M&amp;T Bank Corp  Com</v>
      </c>
      <c r="B2277" s="12" t="str">
        <f>IFERROR(__xludf.DUMMYFUNCTION("""COMPUTED_VALUE"""),"MTB-US")</f>
        <v>MTB-US</v>
      </c>
      <c r="C2277" s="12"/>
      <c r="D2277" s="17">
        <f>IFERROR(__xludf.DUMMYFUNCTION("""COMPUTED_VALUE"""),45615.0)</f>
        <v>45615</v>
      </c>
      <c r="E2277" s="13">
        <f>IFERROR(__xludf.DUMMYFUNCTION("""COMPUTED_VALUE"""),45762.0)</f>
        <v>45762</v>
      </c>
      <c r="F2277" s="13">
        <f>IFERROR(__xludf.DUMMYFUNCTION("""COMPUTED_VALUE"""),45762.0)</f>
        <v>45762</v>
      </c>
      <c r="G2277" s="12"/>
      <c r="H2277" s="12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</row>
    <row r="2278">
      <c r="A2278" s="11" t="str">
        <f>IFERROR(__xludf.DUMMYFUNCTION("""COMPUTED_VALUE"""),"Fifth Third Bancorp  Com")</f>
        <v>Fifth Third Bancorp  Com</v>
      </c>
      <c r="B2278" s="12" t="str">
        <f>IFERROR(__xludf.DUMMYFUNCTION("""COMPUTED_VALUE"""),"FITB-US")</f>
        <v>FITB-US</v>
      </c>
      <c r="C2278" s="12"/>
      <c r="D2278" s="17">
        <f>IFERROR(__xludf.DUMMYFUNCTION("""COMPUTED_VALUE"""),45615.0)</f>
        <v>45615</v>
      </c>
      <c r="E2278" s="13">
        <f>IFERROR(__xludf.DUMMYFUNCTION("""COMPUTED_VALUE"""),45762.0)</f>
        <v>45762</v>
      </c>
      <c r="F2278" s="13">
        <f>IFERROR(__xludf.DUMMYFUNCTION("""COMPUTED_VALUE"""),45762.0)</f>
        <v>45762</v>
      </c>
      <c r="G2278" s="12"/>
      <c r="H2278" s="12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</row>
    <row r="2279">
      <c r="A2279" s="11" t="str">
        <f>IFERROR(__xludf.DUMMYFUNCTION("""COMPUTED_VALUE"""),"Northern Trust Corp  Com")</f>
        <v>Northern Trust Corp  Com</v>
      </c>
      <c r="B2279" s="12" t="str">
        <f>IFERROR(__xludf.DUMMYFUNCTION("""COMPUTED_VALUE"""),"NTRS-US")</f>
        <v>NTRS-US</v>
      </c>
      <c r="C2279" s="12"/>
      <c r="D2279" s="17">
        <f>IFERROR(__xludf.DUMMYFUNCTION("""COMPUTED_VALUE"""),45615.0)</f>
        <v>45615</v>
      </c>
      <c r="E2279" s="13">
        <f>IFERROR(__xludf.DUMMYFUNCTION("""COMPUTED_VALUE"""),45769.0)</f>
        <v>45769</v>
      </c>
      <c r="F2279" s="13">
        <f>IFERROR(__xludf.DUMMYFUNCTION("""COMPUTED_VALUE"""),45769.0)</f>
        <v>45769</v>
      </c>
      <c r="G2279" s="12"/>
      <c r="H2279" s="12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</row>
    <row r="2280">
      <c r="A2280" s="11" t="str">
        <f>IFERROR(__xludf.DUMMYFUNCTION("""COMPUTED_VALUE"""),"Prosperity Bancshares Inc  Com")</f>
        <v>Prosperity Bancshares Inc  Com</v>
      </c>
      <c r="B2280" s="12" t="str">
        <f>IFERROR(__xludf.DUMMYFUNCTION("""COMPUTED_VALUE"""),"PB-US")</f>
        <v>PB-US</v>
      </c>
      <c r="C2280" s="12"/>
      <c r="D2280" s="17">
        <f>IFERROR(__xludf.DUMMYFUNCTION("""COMPUTED_VALUE"""),45616.0)</f>
        <v>45616</v>
      </c>
      <c r="E2280" s="13">
        <f>IFERROR(__xludf.DUMMYFUNCTION("""COMPUTED_VALUE"""),45762.0)</f>
        <v>45762</v>
      </c>
      <c r="F2280" s="13">
        <f>IFERROR(__xludf.DUMMYFUNCTION("""COMPUTED_VALUE"""),45762.0)</f>
        <v>45762</v>
      </c>
      <c r="G2280" s="12"/>
      <c r="H2280" s="12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</row>
    <row r="2281">
      <c r="A2281" s="11" t="str">
        <f>IFERROR(__xludf.DUMMYFUNCTION("""COMPUTED_VALUE"""),"Whirlpool Corp  Com")</f>
        <v>Whirlpool Corp  Com</v>
      </c>
      <c r="B2281" s="12" t="str">
        <f>IFERROR(__xludf.DUMMYFUNCTION("""COMPUTED_VALUE"""),"WHR-US")</f>
        <v>WHR-US</v>
      </c>
      <c r="C2281" s="12"/>
      <c r="D2281" s="17">
        <f>IFERROR(__xludf.DUMMYFUNCTION("""COMPUTED_VALUE"""),45616.0)</f>
        <v>45616</v>
      </c>
      <c r="E2281" s="13">
        <f>IFERROR(__xludf.DUMMYFUNCTION("""COMPUTED_VALUE"""),45762.0)</f>
        <v>45762</v>
      </c>
      <c r="F2281" s="13">
        <f>IFERROR(__xludf.DUMMYFUNCTION("""COMPUTED_VALUE"""),45762.0)</f>
        <v>45762</v>
      </c>
      <c r="G2281" s="12"/>
      <c r="H2281" s="12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</row>
    <row r="2282">
      <c r="A2282" s="11" t="str">
        <f>IFERROR(__xludf.DUMMYFUNCTION("""COMPUTED_VALUE"""),"Parsons Corp  Com")</f>
        <v>Parsons Corp  Com</v>
      </c>
      <c r="B2282" s="12" t="str">
        <f>IFERROR(__xludf.DUMMYFUNCTION("""COMPUTED_VALUE"""),"PSN-US")</f>
        <v>PSN-US</v>
      </c>
      <c r="C2282" s="12"/>
      <c r="D2282" s="17">
        <f>IFERROR(__xludf.DUMMYFUNCTION("""COMPUTED_VALUE"""),45616.0)</f>
        <v>45616</v>
      </c>
      <c r="E2282" s="13">
        <f>IFERROR(__xludf.DUMMYFUNCTION("""COMPUTED_VALUE"""),45762.0)</f>
        <v>45762</v>
      </c>
      <c r="F2282" s="13">
        <f>IFERROR(__xludf.DUMMYFUNCTION("""COMPUTED_VALUE"""),45762.0)</f>
        <v>45762</v>
      </c>
      <c r="G2282" s="12"/>
      <c r="H2282" s="12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</row>
    <row r="2283">
      <c r="A2283" s="11" t="str">
        <f>IFERROR(__xludf.DUMMYFUNCTION("""COMPUTED_VALUE"""),"Texas Capital Bancshares Inc  Com")</f>
        <v>Texas Capital Bancshares Inc  Com</v>
      </c>
      <c r="B2283" s="12" t="str">
        <f>IFERROR(__xludf.DUMMYFUNCTION("""COMPUTED_VALUE"""),"TCBI-US")</f>
        <v>TCBI-US</v>
      </c>
      <c r="C2283" s="12"/>
      <c r="D2283" s="17">
        <f>IFERROR(__xludf.DUMMYFUNCTION("""COMPUTED_VALUE"""),45616.0)</f>
        <v>45616</v>
      </c>
      <c r="E2283" s="13">
        <f>IFERROR(__xludf.DUMMYFUNCTION("""COMPUTED_VALUE"""),45762.0)</f>
        <v>45762</v>
      </c>
      <c r="F2283" s="13">
        <f>IFERROR(__xludf.DUMMYFUNCTION("""COMPUTED_VALUE"""),45762.0)</f>
        <v>45762</v>
      </c>
      <c r="G2283" s="12"/>
      <c r="H2283" s="12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</row>
    <row r="2284">
      <c r="A2284" s="11" t="str">
        <f>IFERROR(__xludf.DUMMYFUNCTION("""COMPUTED_VALUE"""),"Liberty Energy Inc  Cl A")</f>
        <v>Liberty Energy Inc  Cl A</v>
      </c>
      <c r="B2284" s="12" t="str">
        <f>IFERROR(__xludf.DUMMYFUNCTION("""COMPUTED_VALUE"""),"LBRT-US")</f>
        <v>LBRT-US</v>
      </c>
      <c r="C2284" s="12"/>
      <c r="D2284" s="17">
        <f>IFERROR(__xludf.DUMMYFUNCTION("""COMPUTED_VALUE"""),45616.0)</f>
        <v>45616</v>
      </c>
      <c r="E2284" s="13">
        <f>IFERROR(__xludf.DUMMYFUNCTION("""COMPUTED_VALUE"""),45762.0)</f>
        <v>45762</v>
      </c>
      <c r="F2284" s="13">
        <f>IFERROR(__xludf.DUMMYFUNCTION("""COMPUTED_VALUE"""),45762.0)</f>
        <v>45762</v>
      </c>
      <c r="G2284" s="12"/>
      <c r="H2284" s="12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</row>
    <row r="2285">
      <c r="A2285" s="11" t="str">
        <f>IFERROR(__xludf.DUMMYFUNCTION("""COMPUTED_VALUE"""),"Terawulf Inc  Com")</f>
        <v>Terawulf Inc  Com</v>
      </c>
      <c r="B2285" s="12" t="str">
        <f>IFERROR(__xludf.DUMMYFUNCTION("""COMPUTED_VALUE"""),"WULF-US")</f>
        <v>WULF-US</v>
      </c>
      <c r="C2285" s="12"/>
      <c r="D2285" s="17">
        <f>IFERROR(__xludf.DUMMYFUNCTION("""COMPUTED_VALUE"""),45616.0)</f>
        <v>45616</v>
      </c>
      <c r="E2285" s="13">
        <f>IFERROR(__xludf.DUMMYFUNCTION("""COMPUTED_VALUE"""),45782.0)</f>
        <v>45782</v>
      </c>
      <c r="F2285" s="13">
        <f>IFERROR(__xludf.DUMMYFUNCTION("""COMPUTED_VALUE"""),45782.0)</f>
        <v>45782</v>
      </c>
      <c r="G2285" s="12"/>
      <c r="H2285" s="12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</row>
    <row r="2286">
      <c r="A2286" s="11" t="str">
        <f>IFERROR(__xludf.DUMMYFUNCTION("""COMPUTED_VALUE"""),"Cass Information Systems Inc  Com")</f>
        <v>Cass Information Systems Inc  Com</v>
      </c>
      <c r="B2286" s="12" t="str">
        <f>IFERROR(__xludf.DUMMYFUNCTION("""COMPUTED_VALUE"""),"CASS-US")</f>
        <v>CASS-US</v>
      </c>
      <c r="C2286" s="12"/>
      <c r="D2286" s="17">
        <f>IFERROR(__xludf.DUMMYFUNCTION("""COMPUTED_VALUE"""),45616.0)</f>
        <v>45616</v>
      </c>
      <c r="E2286" s="13">
        <f>IFERROR(__xludf.DUMMYFUNCTION("""COMPUTED_VALUE"""),45762.0)</f>
        <v>45762</v>
      </c>
      <c r="F2286" s="13">
        <f>IFERROR(__xludf.DUMMYFUNCTION("""COMPUTED_VALUE"""),45762.0)</f>
        <v>45762</v>
      </c>
      <c r="G2286" s="12"/>
      <c r="H2286" s="12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</row>
    <row r="2287">
      <c r="A2287" s="11" t="str">
        <f>IFERROR(__xludf.DUMMYFUNCTION("""COMPUTED_VALUE"""),"Cnb Financial Corp/Pa  Com")</f>
        <v>Cnb Financial Corp/Pa  Com</v>
      </c>
      <c r="B2287" s="12" t="str">
        <f>IFERROR(__xludf.DUMMYFUNCTION("""COMPUTED_VALUE"""),"CCNE-US")</f>
        <v>CCNE-US</v>
      </c>
      <c r="C2287" s="12"/>
      <c r="D2287" s="17">
        <f>IFERROR(__xludf.DUMMYFUNCTION("""COMPUTED_VALUE"""),45616.0)</f>
        <v>45616</v>
      </c>
      <c r="E2287" s="13">
        <f>IFERROR(__xludf.DUMMYFUNCTION("""COMPUTED_VALUE"""),45762.0)</f>
        <v>45762</v>
      </c>
      <c r="F2287" s="13">
        <f>IFERROR(__xludf.DUMMYFUNCTION("""COMPUTED_VALUE"""),45762.0)</f>
        <v>45762</v>
      </c>
      <c r="G2287" s="12"/>
      <c r="H2287" s="12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</row>
    <row r="2288">
      <c r="A2288" s="11" t="str">
        <f>IFERROR(__xludf.DUMMYFUNCTION("""COMPUTED_VALUE"""),"Civista Bancshares Inc  Com")</f>
        <v>Civista Bancshares Inc  Com</v>
      </c>
      <c r="B2288" s="12" t="str">
        <f>IFERROR(__xludf.DUMMYFUNCTION("""COMPUTED_VALUE"""),"CIVB-US")</f>
        <v>CIVB-US</v>
      </c>
      <c r="C2288" s="12"/>
      <c r="D2288" s="17">
        <f>IFERROR(__xludf.DUMMYFUNCTION("""COMPUTED_VALUE"""),45616.0)</f>
        <v>45616</v>
      </c>
      <c r="E2288" s="13">
        <f>IFERROR(__xludf.DUMMYFUNCTION("""COMPUTED_VALUE"""),45762.0)</f>
        <v>45762</v>
      </c>
      <c r="F2288" s="13">
        <f>IFERROR(__xludf.DUMMYFUNCTION("""COMPUTED_VALUE"""),45762.0)</f>
        <v>45762</v>
      </c>
      <c r="G2288" s="12"/>
      <c r="H2288" s="12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</row>
    <row r="2289">
      <c r="A2289" s="11" t="str">
        <f>IFERROR(__xludf.DUMMYFUNCTION("""COMPUTED_VALUE"""),"Citizens Financial Services Inc  Com")</f>
        <v>Citizens Financial Services Inc  Com</v>
      </c>
      <c r="B2289" s="12" t="str">
        <f>IFERROR(__xludf.DUMMYFUNCTION("""COMPUTED_VALUE"""),"CZFS-US")</f>
        <v>CZFS-US</v>
      </c>
      <c r="C2289" s="12"/>
      <c r="D2289" s="17">
        <f>IFERROR(__xludf.DUMMYFUNCTION("""COMPUTED_VALUE"""),45616.0)</f>
        <v>45616</v>
      </c>
      <c r="E2289" s="13">
        <f>IFERROR(__xludf.DUMMYFUNCTION("""COMPUTED_VALUE"""),45762.0)</f>
        <v>45762</v>
      </c>
      <c r="F2289" s="13">
        <f>IFERROR(__xludf.DUMMYFUNCTION("""COMPUTED_VALUE"""),45762.0)</f>
        <v>45762</v>
      </c>
      <c r="G2289" s="12"/>
      <c r="H2289" s="12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</row>
    <row r="2290">
      <c r="A2290" s="11" t="str">
        <f>IFERROR(__xludf.DUMMYFUNCTION("""COMPUTED_VALUE"""),"Dow Inc  Com")</f>
        <v>Dow Inc  Com</v>
      </c>
      <c r="B2290" s="12" t="str">
        <f>IFERROR(__xludf.DUMMYFUNCTION("""COMPUTED_VALUE"""),"DOW-US")</f>
        <v>DOW-US</v>
      </c>
      <c r="C2290" s="12"/>
      <c r="D2290" s="17">
        <f>IFERROR(__xludf.DUMMYFUNCTION("""COMPUTED_VALUE"""),45617.0)</f>
        <v>45617</v>
      </c>
      <c r="E2290" s="13">
        <f>IFERROR(__xludf.DUMMYFUNCTION("""COMPUTED_VALUE"""),45757.0)</f>
        <v>45757</v>
      </c>
      <c r="F2290" s="13">
        <f>IFERROR(__xludf.DUMMYFUNCTION("""COMPUTED_VALUE"""),45757.0)</f>
        <v>45757</v>
      </c>
      <c r="G2290" s="12"/>
      <c r="H2290" s="12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</row>
    <row r="2291">
      <c r="A2291" s="11" t="str">
        <f>IFERROR(__xludf.DUMMYFUNCTION("""COMPUTED_VALUE"""),"Hb Fuller Co  Com")</f>
        <v>Hb Fuller Co  Com</v>
      </c>
      <c r="B2291" s="12" t="str">
        <f>IFERROR(__xludf.DUMMYFUNCTION("""COMPUTED_VALUE"""),"FUL-US")</f>
        <v>FUL-US</v>
      </c>
      <c r="C2291" s="12"/>
      <c r="D2291" s="17">
        <f>IFERROR(__xludf.DUMMYFUNCTION("""COMPUTED_VALUE"""),45617.0)</f>
        <v>45617</v>
      </c>
      <c r="E2291" s="13">
        <f>IFERROR(__xludf.DUMMYFUNCTION("""COMPUTED_VALUE"""),45762.0)</f>
        <v>45762</v>
      </c>
      <c r="F2291" s="13">
        <f>IFERROR(__xludf.DUMMYFUNCTION("""COMPUTED_VALUE"""),45762.0)</f>
        <v>45762</v>
      </c>
      <c r="G2291" s="12"/>
      <c r="H2291" s="12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</row>
    <row r="2292">
      <c r="A2292" s="11" t="str">
        <f>IFERROR(__xludf.DUMMYFUNCTION("""COMPUTED_VALUE"""),"Mission Produce Inc  Com")</f>
        <v>Mission Produce Inc  Com</v>
      </c>
      <c r="B2292" s="12" t="str">
        <f>IFERROR(__xludf.DUMMYFUNCTION("""COMPUTED_VALUE"""),"AVO-US")</f>
        <v>AVO-US</v>
      </c>
      <c r="C2292" s="12"/>
      <c r="D2292" s="17">
        <f>IFERROR(__xludf.DUMMYFUNCTION("""COMPUTED_VALUE"""),45617.0)</f>
        <v>45617</v>
      </c>
      <c r="E2292" s="13">
        <f>IFERROR(__xludf.DUMMYFUNCTION("""COMPUTED_VALUE"""),45757.0)</f>
        <v>45757</v>
      </c>
      <c r="F2292" s="13">
        <f>IFERROR(__xludf.DUMMYFUNCTION("""COMPUTED_VALUE"""),45757.0)</f>
        <v>45757</v>
      </c>
      <c r="G2292" s="12"/>
      <c r="H2292" s="12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</row>
    <row r="2293">
      <c r="A2293" s="11" t="str">
        <f>IFERROR(__xludf.DUMMYFUNCTION("""COMPUTED_VALUE"""),"Lennar Corp  Cl A")</f>
        <v>Lennar Corp  Cl A</v>
      </c>
      <c r="B2293" s="12" t="str">
        <f>IFERROR(__xludf.DUMMYFUNCTION("""COMPUTED_VALUE"""),"LEN-US")</f>
        <v>LEN-US</v>
      </c>
      <c r="C2293" s="12"/>
      <c r="D2293" s="17">
        <f>IFERROR(__xludf.DUMMYFUNCTION("""COMPUTED_VALUE"""),45618.0)</f>
        <v>45618</v>
      </c>
      <c r="E2293" s="13">
        <f>IFERROR(__xludf.DUMMYFUNCTION("""COMPUTED_VALUE"""),45756.0)</f>
        <v>45756</v>
      </c>
      <c r="F2293" s="13">
        <f>IFERROR(__xludf.DUMMYFUNCTION("""COMPUTED_VALUE"""),45756.0)</f>
        <v>45756</v>
      </c>
      <c r="G2293" s="12"/>
      <c r="H2293" s="12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</row>
    <row r="2294">
      <c r="A2294" s="11" t="str">
        <f>IFERROR(__xludf.DUMMYFUNCTION("""COMPUTED_VALUE"""),"Lennar Corp  Cl B")</f>
        <v>Lennar Corp  Cl B</v>
      </c>
      <c r="B2294" s="12" t="str">
        <f>IFERROR(__xludf.DUMMYFUNCTION("""COMPUTED_VALUE"""),"LEN.B-US")</f>
        <v>LEN.B-US</v>
      </c>
      <c r="C2294" s="12"/>
      <c r="D2294" s="17">
        <f>IFERROR(__xludf.DUMMYFUNCTION("""COMPUTED_VALUE"""),45618.0)</f>
        <v>45618</v>
      </c>
      <c r="E2294" s="13">
        <f>IFERROR(__xludf.DUMMYFUNCTION("""COMPUTED_VALUE"""),45756.0)</f>
        <v>45756</v>
      </c>
      <c r="F2294" s="13">
        <f>IFERROR(__xludf.DUMMYFUNCTION("""COMPUTED_VALUE"""),45756.0)</f>
        <v>45756</v>
      </c>
      <c r="G2294" s="12"/>
      <c r="H2294" s="12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</row>
    <row r="2295">
      <c r="A2295" s="11" t="str">
        <f>IFERROR(__xludf.DUMMYFUNCTION("""COMPUTED_VALUE"""),"Bank Of New York Mellon Corp  Com")</f>
        <v>Bank Of New York Mellon Corp  Com</v>
      </c>
      <c r="B2295" s="12" t="str">
        <f>IFERROR(__xludf.DUMMYFUNCTION("""COMPUTED_VALUE"""),"BK-US")</f>
        <v>BK-US</v>
      </c>
      <c r="C2295" s="12"/>
      <c r="D2295" s="17">
        <f>IFERROR(__xludf.DUMMYFUNCTION("""COMPUTED_VALUE"""),45258.0)</f>
        <v>45258</v>
      </c>
      <c r="E2295" s="13">
        <f>IFERROR(__xludf.DUMMYFUNCTION("""COMPUTED_VALUE"""),45762.0)</f>
        <v>45762</v>
      </c>
      <c r="F2295" s="13">
        <f>IFERROR(__xludf.DUMMYFUNCTION("""COMPUTED_VALUE"""),45762.0)</f>
        <v>45762</v>
      </c>
      <c r="G2295" s="12"/>
      <c r="H2295" s="12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</row>
    <row r="2296">
      <c r="A2296" s="11" t="str">
        <f>IFERROR(__xludf.DUMMYFUNCTION("""COMPUTED_VALUE"""),"Ao Smith Corp  Com")</f>
        <v>Ao Smith Corp  Com</v>
      </c>
      <c r="B2296" s="12" t="str">
        <f>IFERROR(__xludf.DUMMYFUNCTION("""COMPUTED_VALUE"""),"AOS-US")</f>
        <v>AOS-US</v>
      </c>
      <c r="C2296" s="12"/>
      <c r="D2296" s="17">
        <f>IFERROR(__xludf.DUMMYFUNCTION("""COMPUTED_VALUE"""),45258.0)</f>
        <v>45258</v>
      </c>
      <c r="E2296" s="13">
        <f>IFERROR(__xludf.DUMMYFUNCTION("""COMPUTED_VALUE"""),45755.0)</f>
        <v>45755</v>
      </c>
      <c r="F2296" s="13">
        <f>IFERROR(__xludf.DUMMYFUNCTION("""COMPUTED_VALUE"""),45755.0)</f>
        <v>45755</v>
      </c>
      <c r="G2296" s="12"/>
      <c r="H2296" s="12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</row>
    <row r="2297">
      <c r="A2297" s="11" t="str">
        <f>IFERROR(__xludf.DUMMYFUNCTION("""COMPUTED_VALUE"""),"Lakeland Financial Corp  Com")</f>
        <v>Lakeland Financial Corp  Com</v>
      </c>
      <c r="B2297" s="12" t="str">
        <f>IFERROR(__xludf.DUMMYFUNCTION("""COMPUTED_VALUE"""),"LKFN-US")</f>
        <v>LKFN-US</v>
      </c>
      <c r="C2297" s="12"/>
      <c r="D2297" s="13">
        <f>IFERROR(__xludf.DUMMYFUNCTION("""COMPUTED_VALUE"""),45629.0)</f>
        <v>45629</v>
      </c>
      <c r="E2297" s="13">
        <f>IFERROR(__xludf.DUMMYFUNCTION("""COMPUTED_VALUE"""),45755.0)</f>
        <v>45755</v>
      </c>
      <c r="F2297" s="13">
        <f>IFERROR(__xludf.DUMMYFUNCTION("""COMPUTED_VALUE"""),45755.0)</f>
        <v>45755</v>
      </c>
      <c r="G2297" s="12"/>
      <c r="H2297" s="12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</row>
    <row r="2298">
      <c r="A2298" s="11" t="str">
        <f>IFERROR(__xludf.DUMMYFUNCTION("""COMPUTED_VALUE"""),"Otter Tail Corp  Com")</f>
        <v>Otter Tail Corp  Com</v>
      </c>
      <c r="B2298" s="12" t="str">
        <f>IFERROR(__xludf.DUMMYFUNCTION("""COMPUTED_VALUE"""),"OTTR-US")</f>
        <v>OTTR-US</v>
      </c>
      <c r="C2298" s="12"/>
      <c r="D2298" s="13">
        <f>IFERROR(__xludf.DUMMYFUNCTION("""COMPUTED_VALUE"""),45629.0)</f>
        <v>45629</v>
      </c>
      <c r="E2298" s="13">
        <f>IFERROR(__xludf.DUMMYFUNCTION("""COMPUTED_VALUE"""),45761.0)</f>
        <v>45761</v>
      </c>
      <c r="F2298" s="13">
        <f>IFERROR(__xludf.DUMMYFUNCTION("""COMPUTED_VALUE"""),45761.0)</f>
        <v>45761</v>
      </c>
      <c r="G2298" s="12"/>
      <c r="H2298" s="12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</row>
    <row r="2299">
      <c r="A2299" s="11" t="str">
        <f>IFERROR(__xludf.DUMMYFUNCTION("""COMPUTED_VALUE"""),"Goodyear Tire &amp; Rubber Co  Com")</f>
        <v>Goodyear Tire &amp; Rubber Co  Com</v>
      </c>
      <c r="B2299" s="12" t="str">
        <f>IFERROR(__xludf.DUMMYFUNCTION("""COMPUTED_VALUE"""),"GT-US")</f>
        <v>GT-US</v>
      </c>
      <c r="C2299" s="12"/>
      <c r="D2299" s="13">
        <f>IFERROR(__xludf.DUMMYFUNCTION("""COMPUTED_VALUE"""),45630.0)</f>
        <v>45630</v>
      </c>
      <c r="E2299" s="13">
        <f>IFERROR(__xludf.DUMMYFUNCTION("""COMPUTED_VALUE"""),45761.0)</f>
        <v>45761</v>
      </c>
      <c r="F2299" s="13">
        <f>IFERROR(__xludf.DUMMYFUNCTION("""COMPUTED_VALUE"""),45761.0)</f>
        <v>45761</v>
      </c>
      <c r="G2299" s="12"/>
      <c r="H2299" s="12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</row>
    <row r="2300">
      <c r="A2300" s="11" t="str">
        <f>IFERROR(__xludf.DUMMYFUNCTION("""COMPUTED_VALUE"""),"Carnival Corp  Paired Ctf")</f>
        <v>Carnival Corp  Paired Ctf</v>
      </c>
      <c r="B2300" s="12" t="str">
        <f>IFERROR(__xludf.DUMMYFUNCTION("""COMPUTED_VALUE"""),"CCL-US")</f>
        <v>CCL-US</v>
      </c>
      <c r="C2300" s="12"/>
      <c r="D2300" s="13">
        <f>IFERROR(__xludf.DUMMYFUNCTION("""COMPUTED_VALUE"""),45631.0)</f>
        <v>45631</v>
      </c>
      <c r="E2300" s="13">
        <f>IFERROR(__xludf.DUMMYFUNCTION("""COMPUTED_VALUE"""),45763.0)</f>
        <v>45763</v>
      </c>
      <c r="F2300" s="13">
        <f>IFERROR(__xludf.DUMMYFUNCTION("""COMPUTED_VALUE"""),45763.0)</f>
        <v>45763</v>
      </c>
      <c r="G2300" s="12"/>
      <c r="H2300" s="12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</row>
    <row r="2301">
      <c r="A2301" s="11" t="str">
        <f>IFERROR(__xludf.DUMMYFUNCTION("""COMPUTED_VALUE"""),"Scilex Holding Co  Com")</f>
        <v>Scilex Holding Co  Com</v>
      </c>
      <c r="B2301" s="12" t="str">
        <f>IFERROR(__xludf.DUMMYFUNCTION("""COMPUTED_VALUE"""),"SCLX-US")</f>
        <v>SCLX-US</v>
      </c>
      <c r="C2301" s="12"/>
      <c r="D2301" s="13">
        <f>IFERROR(__xludf.DUMMYFUNCTION("""COMPUTED_VALUE"""),45631.0)</f>
        <v>45631</v>
      </c>
      <c r="E2301" s="13">
        <f>IFERROR(__xludf.DUMMYFUNCTION("""COMPUTED_VALUE"""),45812.0)</f>
        <v>45812</v>
      </c>
      <c r="F2301" s="13">
        <f>IFERROR(__xludf.DUMMYFUNCTION("""COMPUTED_VALUE"""),45812.0)</f>
        <v>45812</v>
      </c>
      <c r="G2301" s="12"/>
      <c r="H2301" s="12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</row>
    <row r="2302">
      <c r="A2302" s="11" t="str">
        <f>IFERROR(__xludf.DUMMYFUNCTION("""COMPUTED_VALUE"""),"Transmedics Group Inc  Com")</f>
        <v>Transmedics Group Inc  Com</v>
      </c>
      <c r="B2302" s="12" t="str">
        <f>IFERROR(__xludf.DUMMYFUNCTION("""COMPUTED_VALUE"""),"TMDX-US")</f>
        <v>TMDX-US</v>
      </c>
      <c r="C2302" s="12"/>
      <c r="D2302" s="13">
        <f>IFERROR(__xludf.DUMMYFUNCTION("""COMPUTED_VALUE"""),45631.0)</f>
        <v>45631</v>
      </c>
      <c r="E2302" s="13">
        <f>IFERROR(__xludf.DUMMYFUNCTION("""COMPUTED_VALUE"""),45799.0)</f>
        <v>45799</v>
      </c>
      <c r="F2302" s="13">
        <f>IFERROR(__xludf.DUMMYFUNCTION("""COMPUTED_VALUE"""),45799.0)</f>
        <v>45799</v>
      </c>
      <c r="G2302" s="12"/>
      <c r="H2302" s="12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</row>
    <row r="2303">
      <c r="A2303" s="11" t="str">
        <f>IFERROR(__xludf.DUMMYFUNCTION("""COMPUTED_VALUE"""),"Opko Health Inc  Com")</f>
        <v>Opko Health Inc  Com</v>
      </c>
      <c r="B2303" s="12" t="str">
        <f>IFERROR(__xludf.DUMMYFUNCTION("""COMPUTED_VALUE"""),"OPK-US")</f>
        <v>OPK-US</v>
      </c>
      <c r="C2303" s="12"/>
      <c r="D2303" s="13">
        <f>IFERROR(__xludf.DUMMYFUNCTION("""COMPUTED_VALUE"""),45631.0)</f>
        <v>45631</v>
      </c>
      <c r="E2303" s="13">
        <f>IFERROR(__xludf.DUMMYFUNCTION("""COMPUTED_VALUE"""),45770.0)</f>
        <v>45770</v>
      </c>
      <c r="F2303" s="13">
        <f>IFERROR(__xludf.DUMMYFUNCTION("""COMPUTED_VALUE"""),45770.0)</f>
        <v>45770</v>
      </c>
      <c r="G2303" s="12"/>
      <c r="H2303" s="12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</row>
    <row r="2304">
      <c r="A2304" s="11" t="str">
        <f>IFERROR(__xludf.DUMMYFUNCTION("""COMPUTED_VALUE"""),"Limoneira Co  Com")</f>
        <v>Limoneira Co  Com</v>
      </c>
      <c r="B2304" s="12" t="str">
        <f>IFERROR(__xludf.DUMMYFUNCTION("""COMPUTED_VALUE"""),"LMNR-US")</f>
        <v>LMNR-US</v>
      </c>
      <c r="C2304" s="12"/>
      <c r="D2304" s="13">
        <f>IFERROR(__xludf.DUMMYFUNCTION("""COMPUTED_VALUE"""),45631.0)</f>
        <v>45631</v>
      </c>
      <c r="E2304" s="13">
        <f>IFERROR(__xludf.DUMMYFUNCTION("""COMPUTED_VALUE"""),45756.0)</f>
        <v>45756</v>
      </c>
      <c r="F2304" s="13">
        <f>IFERROR(__xludf.DUMMYFUNCTION("""COMPUTED_VALUE"""),45756.0)</f>
        <v>45756</v>
      </c>
      <c r="G2304" s="12"/>
      <c r="H2304" s="12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</row>
    <row r="2305">
      <c r="A2305" s="11" t="str">
        <f>IFERROR(__xludf.DUMMYFUNCTION("""COMPUTED_VALUE"""),"Stanley Black &amp; Decker Inc  Com")</f>
        <v>Stanley Black &amp; Decker Inc  Com</v>
      </c>
      <c r="B2305" s="12" t="str">
        <f>IFERROR(__xludf.DUMMYFUNCTION("""COMPUTED_VALUE"""),"SWK-US")</f>
        <v>SWK-US</v>
      </c>
      <c r="C2305" s="12"/>
      <c r="D2305" s="13">
        <f>IFERROR(__xludf.DUMMYFUNCTION("""COMPUTED_VALUE"""),45631.0)</f>
        <v>45631</v>
      </c>
      <c r="E2305" s="13">
        <f>IFERROR(__xludf.DUMMYFUNCTION("""COMPUTED_VALUE"""),45772.0)</f>
        <v>45772</v>
      </c>
      <c r="F2305" s="13">
        <f>IFERROR(__xludf.DUMMYFUNCTION("""COMPUTED_VALUE"""),45772.0)</f>
        <v>45772</v>
      </c>
      <c r="G2305" s="12"/>
      <c r="H2305" s="12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</row>
    <row r="2306">
      <c r="A2306" s="11" t="str">
        <f>IFERROR(__xludf.DUMMYFUNCTION("""COMPUTED_VALUE"""),"First Industrial Realty Trust  Com")</f>
        <v>First Industrial Realty Trust  Com</v>
      </c>
      <c r="B2306" s="12" t="str">
        <f>IFERROR(__xludf.DUMMYFUNCTION("""COMPUTED_VALUE"""),"FR-US")</f>
        <v>FR-US</v>
      </c>
      <c r="C2306" s="12"/>
      <c r="D2306" s="13">
        <f>IFERROR(__xludf.DUMMYFUNCTION("""COMPUTED_VALUE"""),45632.0)</f>
        <v>45632</v>
      </c>
      <c r="E2306" s="13">
        <f>IFERROR(__xludf.DUMMYFUNCTION("""COMPUTED_VALUE"""),45777.0)</f>
        <v>45777</v>
      </c>
      <c r="F2306" s="13">
        <f>IFERROR(__xludf.DUMMYFUNCTION("""COMPUTED_VALUE"""),45777.0)</f>
        <v>45777</v>
      </c>
      <c r="G2306" s="12"/>
      <c r="H2306" s="12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</row>
    <row r="2307">
      <c r="A2307" s="11" t="str">
        <f>IFERROR(__xludf.DUMMYFUNCTION("""COMPUTED_VALUE"""),"Adobe Inc  Com")</f>
        <v>Adobe Inc  Com</v>
      </c>
      <c r="B2307" s="12" t="str">
        <f>IFERROR(__xludf.DUMMYFUNCTION("""COMPUTED_VALUE"""),"ADBE-US")</f>
        <v>ADBE-US</v>
      </c>
      <c r="C2307" s="12"/>
      <c r="D2307" s="13">
        <f>IFERROR(__xludf.DUMMYFUNCTION("""COMPUTED_VALUE"""),45632.0)</f>
        <v>45632</v>
      </c>
      <c r="E2307" s="13">
        <f>IFERROR(__xludf.DUMMYFUNCTION("""COMPUTED_VALUE"""),45769.0)</f>
        <v>45769</v>
      </c>
      <c r="F2307" s="13">
        <f>IFERROR(__xludf.DUMMYFUNCTION("""COMPUTED_VALUE"""),45769.0)</f>
        <v>45769</v>
      </c>
      <c r="G2307" s="12"/>
      <c r="H2307" s="12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</row>
    <row r="2308">
      <c r="A2308" s="11" t="str">
        <f>IFERROR(__xludf.DUMMYFUNCTION("""COMPUTED_VALUE"""),"Super Micro Computer Inc  Com")</f>
        <v>Super Micro Computer Inc  Com</v>
      </c>
      <c r="B2308" s="12" t="str">
        <f>IFERROR(__xludf.DUMMYFUNCTION("""COMPUTED_VALUE"""),"SMCI-US")</f>
        <v>SMCI-US</v>
      </c>
      <c r="C2308" s="12"/>
      <c r="D2308" s="13">
        <f>IFERROR(__xludf.DUMMYFUNCTION("""COMPUTED_VALUE"""),45632.0)</f>
        <v>45632</v>
      </c>
      <c r="E2308" s="13">
        <f>IFERROR(__xludf.DUMMYFUNCTION("""COMPUTED_VALUE"""),45812.0)</f>
        <v>45812</v>
      </c>
      <c r="F2308" s="13">
        <f>IFERROR(__xludf.DUMMYFUNCTION("""COMPUTED_VALUE"""),45812.0)</f>
        <v>45812</v>
      </c>
      <c r="G2308" s="12"/>
      <c r="H2308" s="12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</row>
    <row r="2309">
      <c r="A2309" s="11" t="str">
        <f>IFERROR(__xludf.DUMMYFUNCTION("""COMPUTED_VALUE"""),"Ammo Inc  Com")</f>
        <v>Ammo Inc  Com</v>
      </c>
      <c r="B2309" s="12" t="str">
        <f>IFERROR(__xludf.DUMMYFUNCTION("""COMPUTED_VALUE"""),"POWW-US")</f>
        <v>POWW-US</v>
      </c>
      <c r="C2309" s="12"/>
      <c r="D2309" s="13">
        <f>IFERROR(__xludf.DUMMYFUNCTION("""COMPUTED_VALUE"""),45267.0)</f>
        <v>45267</v>
      </c>
      <c r="E2309" s="13">
        <f>IFERROR(__xludf.DUMMYFUNCTION("""COMPUTED_VALUE"""),45898.0)</f>
        <v>45898</v>
      </c>
      <c r="F2309" s="13">
        <f>IFERROR(__xludf.DUMMYFUNCTION("""COMPUTED_VALUE"""),45898.0)</f>
        <v>45898</v>
      </c>
      <c r="G2309" s="12"/>
      <c r="H2309" s="12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</row>
    <row r="2310">
      <c r="A2310" s="11" t="str">
        <f>IFERROR(__xludf.DUMMYFUNCTION("""COMPUTED_VALUE"""),"Trump Media &amp; Technology Group  Cl A")</f>
        <v>Trump Media &amp; Technology Group  Cl A</v>
      </c>
      <c r="B2310" s="12" t="str">
        <f>IFERROR(__xludf.DUMMYFUNCTION("""COMPUTED_VALUE"""),"DJT-US")</f>
        <v>DJT-US</v>
      </c>
      <c r="C2310" s="12"/>
      <c r="D2310" s="13">
        <f>IFERROR(__xludf.DUMMYFUNCTION("""COMPUTED_VALUE"""),45635.0)</f>
        <v>45635</v>
      </c>
      <c r="E2310" s="13">
        <f>IFERROR(__xludf.DUMMYFUNCTION("""COMPUTED_VALUE"""),45777.0)</f>
        <v>45777</v>
      </c>
      <c r="F2310" s="13">
        <f>IFERROR(__xludf.DUMMYFUNCTION("""COMPUTED_VALUE"""),45777.0)</f>
        <v>45777</v>
      </c>
      <c r="G2310" s="12"/>
      <c r="H2310" s="12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</row>
    <row r="2311">
      <c r="A2311" s="11" t="str">
        <f>IFERROR(__xludf.DUMMYFUNCTION("""COMPUTED_VALUE"""),"Lions Gate Entertainment  Cl B Nvtg")</f>
        <v>Lions Gate Entertainment  Cl B Nvtg</v>
      </c>
      <c r="B2311" s="12" t="str">
        <f>IFERROR(__xludf.DUMMYFUNCTION("""COMPUTED_VALUE"""),"LGF.B-US")</f>
        <v>LGF.B-US</v>
      </c>
      <c r="C2311" s="12"/>
      <c r="D2311" s="13">
        <f>IFERROR(__xludf.DUMMYFUNCTION("""COMPUTED_VALUE"""),45635.0)</f>
        <v>45635</v>
      </c>
      <c r="E2311" s="13">
        <f>IFERROR(__xludf.DUMMYFUNCTION("""COMPUTED_VALUE"""),45770.0)</f>
        <v>45770</v>
      </c>
      <c r="F2311" s="13">
        <f>IFERROR(__xludf.DUMMYFUNCTION("""COMPUTED_VALUE"""),45770.0)</f>
        <v>45770</v>
      </c>
      <c r="G2311" s="12"/>
      <c r="H2311" s="12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</row>
    <row r="2312">
      <c r="A2312" s="11" t="str">
        <f>IFERROR(__xludf.DUMMYFUNCTION("""COMPUTED_VALUE"""),"Lions Gate Entertainment Corp  Cl A")</f>
        <v>Lions Gate Entertainment Corp  Cl A</v>
      </c>
      <c r="B2312" s="12" t="str">
        <f>IFERROR(__xludf.DUMMYFUNCTION("""COMPUTED_VALUE"""),"LGF.A-US")</f>
        <v>LGF.A-US</v>
      </c>
      <c r="C2312" s="12"/>
      <c r="D2312" s="17">
        <f>IFERROR(__xludf.DUMMYFUNCTION("""COMPUTED_VALUE"""),45636.0)</f>
        <v>45636</v>
      </c>
      <c r="E2312" s="13">
        <f>IFERROR(__xludf.DUMMYFUNCTION("""COMPUTED_VALUE"""),45770.0)</f>
        <v>45770</v>
      </c>
      <c r="F2312" s="13">
        <f>IFERROR(__xludf.DUMMYFUNCTION("""COMPUTED_VALUE"""),45770.0)</f>
        <v>45770</v>
      </c>
      <c r="G2312" s="12"/>
      <c r="H2312" s="12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</row>
    <row r="2313">
      <c r="A2313" s="11" t="str">
        <f>IFERROR(__xludf.DUMMYFUNCTION("""COMPUTED_VALUE"""),"Lenz Therapeutics Inc  Com")</f>
        <v>Lenz Therapeutics Inc  Com</v>
      </c>
      <c r="B2313" s="12" t="str">
        <f>IFERROR(__xludf.DUMMYFUNCTION("""COMPUTED_VALUE"""),"LENZ-US")</f>
        <v>LENZ-US</v>
      </c>
      <c r="C2313" s="12"/>
      <c r="D2313" s="17">
        <f>IFERROR(__xludf.DUMMYFUNCTION("""COMPUTED_VALUE"""),45637.0)</f>
        <v>45637</v>
      </c>
      <c r="E2313" s="13">
        <f>IFERROR(__xludf.DUMMYFUNCTION("""COMPUTED_VALUE"""),45818.0)</f>
        <v>45818</v>
      </c>
      <c r="F2313" s="13">
        <f>IFERROR(__xludf.DUMMYFUNCTION("""COMPUTED_VALUE"""),45818.0)</f>
        <v>45818</v>
      </c>
      <c r="G2313" s="12"/>
      <c r="H2313" s="12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</row>
    <row r="2314">
      <c r="A2314" s="11" t="str">
        <f>IFERROR(__xludf.DUMMYFUNCTION("""COMPUTED_VALUE"""),"Q32 Bio Inc  Com")</f>
        <v>Q32 Bio Inc  Com</v>
      </c>
      <c r="B2314" s="12" t="str">
        <f>IFERROR(__xludf.DUMMYFUNCTION("""COMPUTED_VALUE"""),"QTTB-US")</f>
        <v>QTTB-US</v>
      </c>
      <c r="C2314" s="12"/>
      <c r="D2314" s="17">
        <f>IFERROR(__xludf.DUMMYFUNCTION("""COMPUTED_VALUE"""),45637.0)</f>
        <v>45637</v>
      </c>
      <c r="E2314" s="13">
        <f>IFERROR(__xludf.DUMMYFUNCTION("""COMPUTED_VALUE"""),45821.0)</f>
        <v>45821</v>
      </c>
      <c r="F2314" s="13">
        <f>IFERROR(__xludf.DUMMYFUNCTION("""COMPUTED_VALUE"""),45821.0)</f>
        <v>45821</v>
      </c>
      <c r="G2314" s="12"/>
      <c r="H2314" s="12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</row>
    <row r="2315">
      <c r="A2315" s="11" t="str">
        <f>IFERROR(__xludf.DUMMYFUNCTION("""COMPUTED_VALUE"""),"Disc Medicine Inc  Com")</f>
        <v>Disc Medicine Inc  Com</v>
      </c>
      <c r="B2315" s="12" t="str">
        <f>IFERROR(__xludf.DUMMYFUNCTION("""COMPUTED_VALUE"""),"IRON-US")</f>
        <v>IRON-US</v>
      </c>
      <c r="C2315" s="12"/>
      <c r="D2315" s="17">
        <f>IFERROR(__xludf.DUMMYFUNCTION("""COMPUTED_VALUE"""),45638.0)</f>
        <v>45638</v>
      </c>
      <c r="E2315" s="13">
        <f>IFERROR(__xludf.DUMMYFUNCTION("""COMPUTED_VALUE"""),45819.0)</f>
        <v>45819</v>
      </c>
      <c r="F2315" s="13">
        <f>IFERROR(__xludf.DUMMYFUNCTION("""COMPUTED_VALUE"""),45819.0)</f>
        <v>45819</v>
      </c>
      <c r="G2315" s="12"/>
      <c r="H2315" s="12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</row>
    <row r="2316">
      <c r="A2316" s="11" t="str">
        <f>IFERROR(__xludf.DUMMYFUNCTION("""COMPUTED_VALUE"""),"Apollo Coml Real Estate Finance  Com")</f>
        <v>Apollo Coml Real Estate Finance  Com</v>
      </c>
      <c r="B2316" s="12" t="str">
        <f>IFERROR(__xludf.DUMMYFUNCTION("""COMPUTED_VALUE"""),"ARI-US")</f>
        <v>ARI-US</v>
      </c>
      <c r="C2316" s="12"/>
      <c r="D2316" s="17">
        <f>IFERROR(__xludf.DUMMYFUNCTION("""COMPUTED_VALUE"""),45638.0)</f>
        <v>45638</v>
      </c>
      <c r="E2316" s="13">
        <f>IFERROR(__xludf.DUMMYFUNCTION("""COMPUTED_VALUE"""),45818.0)</f>
        <v>45818</v>
      </c>
      <c r="F2316" s="13">
        <f>IFERROR(__xludf.DUMMYFUNCTION("""COMPUTED_VALUE"""),45818.0)</f>
        <v>45818</v>
      </c>
      <c r="G2316" s="12"/>
      <c r="H2316" s="12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</row>
    <row r="2317">
      <c r="A2317" s="11" t="str">
        <f>IFERROR(__xludf.DUMMYFUNCTION("""COMPUTED_VALUE"""),"European Wax Center Inc  Cl A")</f>
        <v>European Wax Center Inc  Cl A</v>
      </c>
      <c r="B2317" s="12" t="str">
        <f>IFERROR(__xludf.DUMMYFUNCTION("""COMPUTED_VALUE"""),"EWCZ-US")</f>
        <v>EWCZ-US</v>
      </c>
      <c r="C2317" s="12"/>
      <c r="D2317" s="17">
        <f>IFERROR(__xludf.DUMMYFUNCTION("""COMPUTED_VALUE"""),45638.0)</f>
        <v>45638</v>
      </c>
      <c r="E2317" s="13">
        <f>IFERROR(__xludf.DUMMYFUNCTION("""COMPUTED_VALUE"""),45811.0)</f>
        <v>45811</v>
      </c>
      <c r="F2317" s="13">
        <f>IFERROR(__xludf.DUMMYFUNCTION("""COMPUTED_VALUE"""),45811.0)</f>
        <v>45811</v>
      </c>
      <c r="G2317" s="12"/>
      <c r="H2317" s="12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</row>
    <row r="2318">
      <c r="A2318" s="11" t="str">
        <f>IFERROR(__xludf.DUMMYFUNCTION("""COMPUTED_VALUE"""),"Siriusxm Holding Inc  Com")</f>
        <v>Siriusxm Holding Inc  Com</v>
      </c>
      <c r="B2318" s="12" t="str">
        <f>IFERROR(__xludf.DUMMYFUNCTION("""COMPUTED_VALUE"""),"SIRI-US")</f>
        <v>SIRI-US</v>
      </c>
      <c r="C2318" s="12"/>
      <c r="D2318" s="17">
        <f>IFERROR(__xludf.DUMMYFUNCTION("""COMPUTED_VALUE"""),45638.0)</f>
        <v>45638</v>
      </c>
      <c r="E2318" s="13">
        <f>IFERROR(__xludf.DUMMYFUNCTION("""COMPUTED_VALUE"""),45805.0)</f>
        <v>45805</v>
      </c>
      <c r="F2318" s="13">
        <f>IFERROR(__xludf.DUMMYFUNCTION("""COMPUTED_VALUE"""),45805.0)</f>
        <v>45805</v>
      </c>
      <c r="G2318" s="12"/>
      <c r="H2318" s="12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</row>
    <row r="2319">
      <c r="A2319" s="11" t="str">
        <f>IFERROR(__xludf.DUMMYFUNCTION("""COMPUTED_VALUE"""),"Palomar Holdings Inc  Com")</f>
        <v>Palomar Holdings Inc  Com</v>
      </c>
      <c r="B2319" s="12" t="str">
        <f>IFERROR(__xludf.DUMMYFUNCTION("""COMPUTED_VALUE"""),"PLMR-US")</f>
        <v>PLMR-US</v>
      </c>
      <c r="C2319" s="12"/>
      <c r="D2319" s="17">
        <f>IFERROR(__xludf.DUMMYFUNCTION("""COMPUTED_VALUE"""),45638.0)</f>
        <v>45638</v>
      </c>
      <c r="E2319" s="13">
        <f>IFERROR(__xludf.DUMMYFUNCTION("""COMPUTED_VALUE"""),45799.0)</f>
        <v>45799</v>
      </c>
      <c r="F2319" s="13">
        <f>IFERROR(__xludf.DUMMYFUNCTION("""COMPUTED_VALUE"""),45799.0)</f>
        <v>45799</v>
      </c>
      <c r="G2319" s="12"/>
      <c r="H2319" s="12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</row>
    <row r="2320">
      <c r="A2320" s="11" t="str">
        <f>IFERROR(__xludf.DUMMYFUNCTION("""COMPUTED_VALUE"""),"Hanmi Financial Corp  Com")</f>
        <v>Hanmi Financial Corp  Com</v>
      </c>
      <c r="B2320" s="12" t="str">
        <f>IFERROR(__xludf.DUMMYFUNCTION("""COMPUTED_VALUE"""),"HAFC-US")</f>
        <v>HAFC-US</v>
      </c>
      <c r="C2320" s="12"/>
      <c r="D2320" s="17">
        <f>IFERROR(__xludf.DUMMYFUNCTION("""COMPUTED_VALUE"""),45638.0)</f>
        <v>45638</v>
      </c>
      <c r="E2320" s="13">
        <f>IFERROR(__xludf.DUMMYFUNCTION("""COMPUTED_VALUE"""),45805.0)</f>
        <v>45805</v>
      </c>
      <c r="F2320" s="13">
        <f>IFERROR(__xludf.DUMMYFUNCTION("""COMPUTED_VALUE"""),45805.0)</f>
        <v>45805</v>
      </c>
      <c r="G2320" s="12"/>
      <c r="H2320" s="12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</row>
    <row r="2321">
      <c r="A2321" s="11" t="str">
        <f>IFERROR(__xludf.DUMMYFUNCTION("""COMPUTED_VALUE"""),"Pg&amp;E Corp  Com")</f>
        <v>Pg&amp;E Corp  Com</v>
      </c>
      <c r="B2321" s="12" t="str">
        <f>IFERROR(__xludf.DUMMYFUNCTION("""COMPUTED_VALUE"""),"PCG-US")</f>
        <v>PCG-US</v>
      </c>
      <c r="C2321" s="12"/>
      <c r="D2321" s="17">
        <f>IFERROR(__xludf.DUMMYFUNCTION("""COMPUTED_VALUE"""),45638.0)</f>
        <v>45638</v>
      </c>
      <c r="E2321" s="13">
        <f>IFERROR(__xludf.DUMMYFUNCTION("""COMPUTED_VALUE"""),45799.0)</f>
        <v>45799</v>
      </c>
      <c r="F2321" s="13">
        <f>IFERROR(__xludf.DUMMYFUNCTION("""COMPUTED_VALUE"""),45799.0)</f>
        <v>45799</v>
      </c>
      <c r="G2321" s="12"/>
      <c r="H2321" s="12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</row>
    <row r="2322">
      <c r="A2322" s="11" t="str">
        <f>IFERROR(__xludf.DUMMYFUNCTION("""COMPUTED_VALUE"""),"Quest Diagnostics Inc  Com")</f>
        <v>Quest Diagnostics Inc  Com</v>
      </c>
      <c r="B2322" s="12" t="str">
        <f>IFERROR(__xludf.DUMMYFUNCTION("""COMPUTED_VALUE"""),"DGX-US")</f>
        <v>DGX-US</v>
      </c>
      <c r="C2322" s="12"/>
      <c r="D2322" s="17">
        <f>IFERROR(__xludf.DUMMYFUNCTION("""COMPUTED_VALUE"""),45638.0)</f>
        <v>45638</v>
      </c>
      <c r="E2322" s="13">
        <f>IFERROR(__xludf.DUMMYFUNCTION("""COMPUTED_VALUE"""),45792.0)</f>
        <v>45792</v>
      </c>
      <c r="F2322" s="13">
        <f>IFERROR(__xludf.DUMMYFUNCTION("""COMPUTED_VALUE"""),45792.0)</f>
        <v>45792</v>
      </c>
      <c r="G2322" s="12"/>
      <c r="H2322" s="12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</row>
    <row r="2323">
      <c r="A2323" s="11" t="str">
        <f>IFERROR(__xludf.DUMMYFUNCTION("""COMPUTED_VALUE"""),"Alexandria Real Estate Eq  Com")</f>
        <v>Alexandria Real Estate Eq  Com</v>
      </c>
      <c r="B2323" s="12" t="str">
        <f>IFERROR(__xludf.DUMMYFUNCTION("""COMPUTED_VALUE"""),"ARE-US")</f>
        <v>ARE-US</v>
      </c>
      <c r="C2323" s="12"/>
      <c r="D2323" s="17">
        <f>IFERROR(__xludf.DUMMYFUNCTION("""COMPUTED_VALUE"""),45639.0)</f>
        <v>45639</v>
      </c>
      <c r="E2323" s="13">
        <f>IFERROR(__xludf.DUMMYFUNCTION("""COMPUTED_VALUE"""),45790.0)</f>
        <v>45790</v>
      </c>
      <c r="F2323" s="13">
        <f>IFERROR(__xludf.DUMMYFUNCTION("""COMPUTED_VALUE"""),45790.0)</f>
        <v>45790</v>
      </c>
      <c r="G2323" s="12"/>
      <c r="H2323" s="12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</row>
    <row r="2324">
      <c r="A2324" s="11" t="str">
        <f>IFERROR(__xludf.DUMMYFUNCTION("""COMPUTED_VALUE"""),"Edwards Lifesciences Corp  Com")</f>
        <v>Edwards Lifesciences Corp  Com</v>
      </c>
      <c r="B2324" s="12" t="str">
        <f>IFERROR(__xludf.DUMMYFUNCTION("""COMPUTED_VALUE"""),"EW-US")</f>
        <v>EW-US</v>
      </c>
      <c r="C2324" s="12"/>
      <c r="D2324" s="17">
        <f>IFERROR(__xludf.DUMMYFUNCTION("""COMPUTED_VALUE"""),45643.0)</f>
        <v>45643</v>
      </c>
      <c r="E2324" s="13">
        <f>IFERROR(__xludf.DUMMYFUNCTION("""COMPUTED_VALUE"""),45785.0)</f>
        <v>45785</v>
      </c>
      <c r="F2324" s="13">
        <f>IFERROR(__xludf.DUMMYFUNCTION("""COMPUTED_VALUE"""),45785.0)</f>
        <v>45785</v>
      </c>
      <c r="G2324" s="12"/>
      <c r="H2324" s="12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</row>
    <row r="2325">
      <c r="A2325" s="11" t="str">
        <f>IFERROR(__xludf.DUMMYFUNCTION("""COMPUTED_VALUE"""),"Itron Inc  Com")</f>
        <v>Itron Inc  Com</v>
      </c>
      <c r="B2325" s="12" t="str">
        <f>IFERROR(__xludf.DUMMYFUNCTION("""COMPUTED_VALUE"""),"ITRI-US")</f>
        <v>ITRI-US</v>
      </c>
      <c r="C2325" s="12"/>
      <c r="D2325" s="17">
        <f>IFERROR(__xludf.DUMMYFUNCTION("""COMPUTED_VALUE"""),45643.0)</f>
        <v>45643</v>
      </c>
      <c r="E2325" s="13">
        <f>IFERROR(__xludf.DUMMYFUNCTION("""COMPUTED_VALUE"""),45785.0)</f>
        <v>45785</v>
      </c>
      <c r="F2325" s="13">
        <f>IFERROR(__xludf.DUMMYFUNCTION("""COMPUTED_VALUE"""),45785.0)</f>
        <v>45785</v>
      </c>
      <c r="G2325" s="12"/>
      <c r="H2325" s="12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</row>
    <row r="2326">
      <c r="A2326" s="11" t="str">
        <f>IFERROR(__xludf.DUMMYFUNCTION("""COMPUTED_VALUE"""),"Pediatrix Medical Group Inc  Com")</f>
        <v>Pediatrix Medical Group Inc  Com</v>
      </c>
      <c r="B2326" s="12" t="str">
        <f>IFERROR(__xludf.DUMMYFUNCTION("""COMPUTED_VALUE"""),"MD-US")</f>
        <v>MD-US</v>
      </c>
      <c r="C2326" s="12"/>
      <c r="D2326" s="17">
        <f>IFERROR(__xludf.DUMMYFUNCTION("""COMPUTED_VALUE"""),45643.0)</f>
        <v>45643</v>
      </c>
      <c r="E2326" s="13">
        <f>IFERROR(__xludf.DUMMYFUNCTION("""COMPUTED_VALUE"""),45785.0)</f>
        <v>45785</v>
      </c>
      <c r="F2326" s="13">
        <f>IFERROR(__xludf.DUMMYFUNCTION("""COMPUTED_VALUE"""),45785.0)</f>
        <v>45785</v>
      </c>
      <c r="G2326" s="12"/>
      <c r="H2326" s="12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</row>
    <row r="2327">
      <c r="A2327" s="11" t="str">
        <f>IFERROR(__xludf.DUMMYFUNCTION("""COMPUTED_VALUE"""),"3M Co  Com")</f>
        <v>3M Co  Com</v>
      </c>
      <c r="B2327" s="12" t="str">
        <f>IFERROR(__xludf.DUMMYFUNCTION("""COMPUTED_VALUE"""),"MMM-US")</f>
        <v>MMM-US</v>
      </c>
      <c r="C2327" s="12"/>
      <c r="D2327" s="17">
        <f>IFERROR(__xludf.DUMMYFUNCTION("""COMPUTED_VALUE"""),45644.0)</f>
        <v>45644</v>
      </c>
      <c r="E2327" s="13">
        <f>IFERROR(__xludf.DUMMYFUNCTION("""COMPUTED_VALUE"""),45790.0)</f>
        <v>45790</v>
      </c>
      <c r="F2327" s="13">
        <f>IFERROR(__xludf.DUMMYFUNCTION("""COMPUTED_VALUE"""),45790.0)</f>
        <v>45790</v>
      </c>
      <c r="G2327" s="12"/>
      <c r="H2327" s="12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</row>
    <row r="2328">
      <c r="A2328" s="11" t="str">
        <f>IFERROR(__xludf.DUMMYFUNCTION("""COMPUTED_VALUE"""),"Skywest Inc  Com")</f>
        <v>Skywest Inc  Com</v>
      </c>
      <c r="B2328" s="12" t="str">
        <f>IFERROR(__xludf.DUMMYFUNCTION("""COMPUTED_VALUE"""),"SKYW-US")</f>
        <v>SKYW-US</v>
      </c>
      <c r="C2328" s="12"/>
      <c r="D2328" s="17">
        <f>IFERROR(__xludf.DUMMYFUNCTION("""COMPUTED_VALUE"""),45645.0)</f>
        <v>45645</v>
      </c>
      <c r="E2328" s="13">
        <f>IFERROR(__xludf.DUMMYFUNCTION("""COMPUTED_VALUE"""),45783.0)</f>
        <v>45783</v>
      </c>
      <c r="F2328" s="13">
        <f>IFERROR(__xludf.DUMMYFUNCTION("""COMPUTED_VALUE"""),45783.0)</f>
        <v>45783</v>
      </c>
      <c r="G2328" s="12"/>
      <c r="H2328" s="12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</row>
    <row r="2329">
      <c r="A2329" s="11" t="str">
        <f>IFERROR(__xludf.DUMMYFUNCTION("""COMPUTED_VALUE"""),"Healthpeak Properties Inc  Com")</f>
        <v>Healthpeak Properties Inc  Com</v>
      </c>
      <c r="B2329" s="12" t="str">
        <f>IFERROR(__xludf.DUMMYFUNCTION("""COMPUTED_VALUE"""),"DOC-US")</f>
        <v>DOC-US</v>
      </c>
      <c r="C2329" s="12"/>
      <c r="D2329" s="17">
        <f>IFERROR(__xludf.DUMMYFUNCTION("""COMPUTED_VALUE"""),45646.0)</f>
        <v>45646</v>
      </c>
      <c r="E2329" s="13">
        <f>IFERROR(__xludf.DUMMYFUNCTION("""COMPUTED_VALUE"""),45771.0)</f>
        <v>45771</v>
      </c>
      <c r="F2329" s="13">
        <f>IFERROR(__xludf.DUMMYFUNCTION("""COMPUTED_VALUE"""),45771.0)</f>
        <v>45771</v>
      </c>
      <c r="G2329" s="12"/>
      <c r="H2329" s="12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</row>
    <row r="2330">
      <c r="A2330" s="11" t="str">
        <f>IFERROR(__xludf.DUMMYFUNCTION("""COMPUTED_VALUE"""),"Kirby Corp  Com")</f>
        <v>Kirby Corp  Com</v>
      </c>
      <c r="B2330" s="12" t="str">
        <f>IFERROR(__xludf.DUMMYFUNCTION("""COMPUTED_VALUE"""),"KEX-US")</f>
        <v>KEX-US</v>
      </c>
      <c r="C2330" s="12"/>
      <c r="D2330" s="17">
        <f>IFERROR(__xludf.DUMMYFUNCTION("""COMPUTED_VALUE"""),45656.0)</f>
        <v>45656</v>
      </c>
      <c r="E2330" s="13">
        <f>IFERROR(__xludf.DUMMYFUNCTION("""COMPUTED_VALUE"""),45776.0)</f>
        <v>45776</v>
      </c>
      <c r="F2330" s="13">
        <f>IFERROR(__xludf.DUMMYFUNCTION("""COMPUTED_VALUE"""),45776.0)</f>
        <v>45776</v>
      </c>
      <c r="G2330" s="12"/>
      <c r="H2330" s="12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</row>
    <row r="2331">
      <c r="A2331" s="11" t="str">
        <f>IFERROR(__xludf.DUMMYFUNCTION("""COMPUTED_VALUE"""),"Core Scientific Inc  Com")</f>
        <v>Core Scientific Inc  Com</v>
      </c>
      <c r="B2331" s="12" t="str">
        <f>IFERROR(__xludf.DUMMYFUNCTION("""COMPUTED_VALUE"""),"CORZ-US")</f>
        <v>CORZ-US</v>
      </c>
      <c r="C2331" s="12"/>
      <c r="D2331" s="17">
        <f>IFERROR(__xludf.DUMMYFUNCTION("""COMPUTED_VALUE"""),45657.0)</f>
        <v>45657</v>
      </c>
      <c r="E2331" s="13">
        <f>IFERROR(__xludf.DUMMYFUNCTION("""COMPUTED_VALUE"""),45789.0)</f>
        <v>45789</v>
      </c>
      <c r="F2331" s="13">
        <f>IFERROR(__xludf.DUMMYFUNCTION("""COMPUTED_VALUE"""),45789.0)</f>
        <v>45789</v>
      </c>
      <c r="G2331" s="12"/>
      <c r="H2331" s="12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</row>
    <row r="2332">
      <c r="A2332" s="11"/>
      <c r="B2332" s="12"/>
      <c r="C2332" s="12"/>
      <c r="D2332" s="12"/>
      <c r="E2332" s="12"/>
      <c r="F2332" s="12"/>
      <c r="G2332" s="12"/>
      <c r="H2332" s="12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</row>
    <row r="2333">
      <c r="A2333" s="11"/>
      <c r="B2333" s="12"/>
      <c r="C2333" s="12"/>
      <c r="D2333" s="12"/>
      <c r="E2333" s="12"/>
      <c r="F2333" s="12"/>
      <c r="G2333" s="12"/>
      <c r="H2333" s="12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</row>
    <row r="2334">
      <c r="A2334" s="11"/>
      <c r="B2334" s="12"/>
      <c r="C2334" s="12"/>
      <c r="D2334" s="12"/>
      <c r="E2334" s="12"/>
      <c r="F2334" s="12"/>
      <c r="G2334" s="12"/>
      <c r="H2334" s="12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</row>
    <row r="2335">
      <c r="A2335" s="11"/>
      <c r="B2335" s="12"/>
      <c r="C2335" s="12"/>
      <c r="D2335" s="12"/>
      <c r="E2335" s="12"/>
      <c r="F2335" s="12"/>
      <c r="G2335" s="12"/>
      <c r="H2335" s="12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</row>
    <row r="2336">
      <c r="A2336" s="11"/>
      <c r="B2336" s="12"/>
      <c r="C2336" s="12"/>
      <c r="D2336" s="12"/>
      <c r="E2336" s="12"/>
      <c r="F2336" s="12"/>
      <c r="G2336" s="12"/>
      <c r="H2336" s="12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</row>
    <row r="2337">
      <c r="A2337" s="11"/>
      <c r="B2337" s="12"/>
      <c r="C2337" s="12"/>
      <c r="D2337" s="12"/>
      <c r="E2337" s="12"/>
      <c r="F2337" s="12"/>
      <c r="G2337" s="12"/>
      <c r="H2337" s="12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</row>
    <row r="2338">
      <c r="A2338" s="11"/>
      <c r="B2338" s="12"/>
      <c r="C2338" s="12"/>
      <c r="D2338" s="12"/>
      <c r="E2338" s="12"/>
      <c r="F2338" s="12"/>
      <c r="G2338" s="12"/>
      <c r="H2338" s="12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</row>
    <row r="2339">
      <c r="A2339" s="11"/>
      <c r="B2339" s="12"/>
      <c r="C2339" s="12"/>
      <c r="D2339" s="12"/>
      <c r="E2339" s="12"/>
      <c r="F2339" s="12"/>
      <c r="G2339" s="12"/>
      <c r="H2339" s="12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</row>
    <row r="2340">
      <c r="A2340" s="11"/>
      <c r="B2340" s="12"/>
      <c r="C2340" s="12"/>
      <c r="D2340" s="12"/>
      <c r="E2340" s="12"/>
      <c r="F2340" s="12"/>
      <c r="G2340" s="12"/>
      <c r="H2340" s="12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</row>
    <row r="2341">
      <c r="A2341" s="11"/>
      <c r="B2341" s="12"/>
      <c r="C2341" s="12"/>
      <c r="D2341" s="12"/>
      <c r="E2341" s="12"/>
      <c r="F2341" s="12"/>
      <c r="G2341" s="12"/>
      <c r="H2341" s="12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</row>
    <row r="2342">
      <c r="A2342" s="11"/>
      <c r="B2342" s="12"/>
      <c r="C2342" s="12"/>
      <c r="D2342" s="12"/>
      <c r="E2342" s="12"/>
      <c r="F2342" s="12"/>
      <c r="G2342" s="12"/>
      <c r="H2342" s="12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</row>
    <row r="2343">
      <c r="A2343" s="11"/>
      <c r="B2343" s="12"/>
      <c r="C2343" s="12"/>
      <c r="D2343" s="12"/>
      <c r="E2343" s="12"/>
      <c r="F2343" s="12"/>
      <c r="G2343" s="12"/>
      <c r="H2343" s="12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</row>
    <row r="2344">
      <c r="A2344" s="11"/>
      <c r="B2344" s="12"/>
      <c r="C2344" s="12"/>
      <c r="D2344" s="12"/>
      <c r="E2344" s="12"/>
      <c r="F2344" s="12"/>
      <c r="G2344" s="12"/>
      <c r="H2344" s="12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</row>
    <row r="2345">
      <c r="A2345" s="11"/>
      <c r="B2345" s="12"/>
      <c r="C2345" s="12"/>
      <c r="D2345" s="12"/>
      <c r="E2345" s="12"/>
      <c r="F2345" s="12"/>
      <c r="G2345" s="12"/>
      <c r="H2345" s="12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</row>
    <row r="2346">
      <c r="A2346" s="11"/>
      <c r="B2346" s="12"/>
      <c r="C2346" s="12"/>
      <c r="D2346" s="12"/>
      <c r="E2346" s="12"/>
      <c r="F2346" s="12"/>
      <c r="G2346" s="12"/>
      <c r="H2346" s="12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</row>
    <row r="2347">
      <c r="A2347" s="11"/>
      <c r="B2347" s="12"/>
      <c r="C2347" s="12"/>
      <c r="D2347" s="12"/>
      <c r="E2347" s="12"/>
      <c r="F2347" s="12"/>
      <c r="G2347" s="12"/>
      <c r="H2347" s="12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</row>
    <row r="2348">
      <c r="A2348" s="11"/>
      <c r="B2348" s="12"/>
      <c r="C2348" s="12"/>
      <c r="D2348" s="12"/>
      <c r="E2348" s="12"/>
      <c r="F2348" s="12"/>
      <c r="G2348" s="12"/>
      <c r="H2348" s="12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</row>
    <row r="2349">
      <c r="A2349" s="11"/>
      <c r="B2349" s="12"/>
      <c r="C2349" s="12"/>
      <c r="D2349" s="12"/>
      <c r="E2349" s="12"/>
      <c r="F2349" s="12"/>
      <c r="G2349" s="12"/>
      <c r="H2349" s="12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</row>
    <row r="2350">
      <c r="A2350" s="11"/>
      <c r="B2350" s="12"/>
      <c r="C2350" s="12"/>
      <c r="D2350" s="12"/>
      <c r="E2350" s="12"/>
      <c r="F2350" s="12"/>
      <c r="G2350" s="12"/>
      <c r="H2350" s="12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</row>
    <row r="2351">
      <c r="A2351" s="11"/>
      <c r="B2351" s="12"/>
      <c r="C2351" s="12"/>
      <c r="D2351" s="12"/>
      <c r="E2351" s="12"/>
      <c r="F2351" s="12"/>
      <c r="G2351" s="12"/>
      <c r="H2351" s="12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</row>
    <row r="2352">
      <c r="A2352" s="11"/>
      <c r="B2352" s="12"/>
      <c r="C2352" s="12"/>
      <c r="D2352" s="12"/>
      <c r="E2352" s="12"/>
      <c r="F2352" s="12"/>
      <c r="G2352" s="12"/>
      <c r="H2352" s="12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</row>
    <row r="2353">
      <c r="A2353" s="11"/>
      <c r="B2353" s="12"/>
      <c r="C2353" s="12"/>
      <c r="D2353" s="12"/>
      <c r="E2353" s="12"/>
      <c r="F2353" s="12"/>
      <c r="G2353" s="12"/>
      <c r="H2353" s="12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</row>
    <row r="2354">
      <c r="A2354" s="11"/>
      <c r="B2354" s="12"/>
      <c r="C2354" s="12"/>
      <c r="D2354" s="12"/>
      <c r="E2354" s="12"/>
      <c r="F2354" s="12"/>
      <c r="G2354" s="12"/>
      <c r="H2354" s="12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</row>
    <row r="2355">
      <c r="A2355" s="11"/>
      <c r="B2355" s="12"/>
      <c r="C2355" s="12"/>
      <c r="D2355" s="12"/>
      <c r="E2355" s="12"/>
      <c r="F2355" s="12"/>
      <c r="G2355" s="12"/>
      <c r="H2355" s="12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</row>
    <row r="2356">
      <c r="A2356" s="11"/>
      <c r="B2356" s="12"/>
      <c r="C2356" s="12"/>
      <c r="D2356" s="12"/>
      <c r="E2356" s="12"/>
      <c r="F2356" s="12"/>
      <c r="G2356" s="12"/>
      <c r="H2356" s="12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</row>
    <row r="2357">
      <c r="A2357" s="11"/>
      <c r="B2357" s="12"/>
      <c r="C2357" s="12"/>
      <c r="D2357" s="12"/>
      <c r="E2357" s="12"/>
      <c r="F2357" s="12"/>
      <c r="G2357" s="12"/>
      <c r="H2357" s="12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</row>
    <row r="2358">
      <c r="A2358" s="11"/>
      <c r="B2358" s="12"/>
      <c r="C2358" s="12"/>
      <c r="D2358" s="12"/>
      <c r="E2358" s="12"/>
      <c r="F2358" s="12"/>
      <c r="G2358" s="12"/>
      <c r="H2358" s="12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</row>
    <row r="2359">
      <c r="A2359" s="11"/>
      <c r="B2359" s="12"/>
      <c r="C2359" s="12"/>
      <c r="D2359" s="12"/>
      <c r="E2359" s="12"/>
      <c r="F2359" s="12"/>
      <c r="G2359" s="12"/>
      <c r="H2359" s="12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</row>
    <row r="2360">
      <c r="A2360" s="11"/>
      <c r="B2360" s="12"/>
      <c r="C2360" s="12"/>
      <c r="D2360" s="12"/>
      <c r="E2360" s="12"/>
      <c r="F2360" s="12"/>
      <c r="G2360" s="12"/>
      <c r="H2360" s="12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</row>
    <row r="2361">
      <c r="A2361" s="11"/>
      <c r="B2361" s="12"/>
      <c r="C2361" s="12"/>
      <c r="D2361" s="12"/>
      <c r="E2361" s="12"/>
      <c r="F2361" s="12"/>
      <c r="G2361" s="12"/>
      <c r="H2361" s="12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</row>
    <row r="2362">
      <c r="A2362" s="11"/>
      <c r="B2362" s="12"/>
      <c r="C2362" s="12"/>
      <c r="D2362" s="12"/>
      <c r="E2362" s="12"/>
      <c r="F2362" s="12"/>
      <c r="G2362" s="12"/>
      <c r="H2362" s="12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</row>
    <row r="2363">
      <c r="A2363" s="11"/>
      <c r="B2363" s="12"/>
      <c r="C2363" s="12"/>
      <c r="D2363" s="12"/>
      <c r="E2363" s="12"/>
      <c r="F2363" s="12"/>
      <c r="G2363" s="12"/>
      <c r="H2363" s="12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</row>
    <row r="2364">
      <c r="A2364" s="11"/>
      <c r="B2364" s="12"/>
      <c r="C2364" s="12"/>
      <c r="D2364" s="12"/>
      <c r="E2364" s="12"/>
      <c r="F2364" s="12"/>
      <c r="G2364" s="12"/>
      <c r="H2364" s="12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</row>
    <row r="2365">
      <c r="A2365" s="11"/>
      <c r="B2365" s="12"/>
      <c r="C2365" s="12"/>
      <c r="D2365" s="12"/>
      <c r="E2365" s="12"/>
      <c r="F2365" s="12"/>
      <c r="G2365" s="12"/>
      <c r="H2365" s="12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</row>
    <row r="2366">
      <c r="A2366" s="11"/>
      <c r="B2366" s="12"/>
      <c r="C2366" s="12"/>
      <c r="D2366" s="12"/>
      <c r="E2366" s="12"/>
      <c r="F2366" s="12"/>
      <c r="G2366" s="12"/>
      <c r="H2366" s="12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</row>
    <row r="2367">
      <c r="A2367" s="11"/>
      <c r="B2367" s="12"/>
      <c r="C2367" s="12"/>
      <c r="D2367" s="12"/>
      <c r="E2367" s="12"/>
      <c r="F2367" s="12"/>
      <c r="G2367" s="12"/>
      <c r="H2367" s="12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</row>
    <row r="2368">
      <c r="A2368" s="11"/>
      <c r="B2368" s="12"/>
      <c r="C2368" s="12"/>
      <c r="D2368" s="12"/>
      <c r="E2368" s="12"/>
      <c r="F2368" s="12"/>
      <c r="G2368" s="12"/>
      <c r="H2368" s="12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</row>
    <row r="2369">
      <c r="A2369" s="11"/>
      <c r="B2369" s="12"/>
      <c r="C2369" s="12"/>
      <c r="D2369" s="12"/>
      <c r="E2369" s="12"/>
      <c r="F2369" s="12"/>
      <c r="G2369" s="12"/>
      <c r="H2369" s="12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</row>
    <row r="2370">
      <c r="A2370" s="11"/>
      <c r="B2370" s="12"/>
      <c r="C2370" s="12"/>
      <c r="D2370" s="12"/>
      <c r="E2370" s="12"/>
      <c r="F2370" s="12"/>
      <c r="G2370" s="12"/>
      <c r="H2370" s="12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</row>
    <row r="2371">
      <c r="A2371" s="11"/>
      <c r="B2371" s="12"/>
      <c r="C2371" s="12"/>
      <c r="D2371" s="12"/>
      <c r="E2371" s="12"/>
      <c r="F2371" s="12"/>
      <c r="G2371" s="12"/>
      <c r="H2371" s="12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</row>
    <row r="2372">
      <c r="A2372" s="11"/>
      <c r="B2372" s="12"/>
      <c r="C2372" s="12"/>
      <c r="D2372" s="12"/>
      <c r="E2372" s="12"/>
      <c r="F2372" s="12"/>
      <c r="G2372" s="12"/>
      <c r="H2372" s="12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</row>
    <row r="2373">
      <c r="A2373" s="11"/>
      <c r="B2373" s="12"/>
      <c r="C2373" s="12"/>
      <c r="D2373" s="12"/>
      <c r="E2373" s="12"/>
      <c r="F2373" s="12"/>
      <c r="G2373" s="12"/>
      <c r="H2373" s="12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</row>
    <row r="2374">
      <c r="A2374" s="11"/>
      <c r="B2374" s="12"/>
      <c r="C2374" s="12"/>
      <c r="D2374" s="12"/>
      <c r="E2374" s="12"/>
      <c r="F2374" s="12"/>
      <c r="G2374" s="12"/>
      <c r="H2374" s="12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</row>
    <row r="2375">
      <c r="A2375" s="11"/>
      <c r="B2375" s="12"/>
      <c r="C2375" s="12"/>
      <c r="D2375" s="12"/>
      <c r="E2375" s="12"/>
      <c r="F2375" s="12"/>
      <c r="G2375" s="12"/>
      <c r="H2375" s="12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</row>
    <row r="2376">
      <c r="A2376" s="11"/>
      <c r="B2376" s="12"/>
      <c r="C2376" s="12"/>
      <c r="D2376" s="12"/>
      <c r="E2376" s="12"/>
      <c r="F2376" s="12"/>
      <c r="G2376" s="12"/>
      <c r="H2376" s="12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</row>
    <row r="2377">
      <c r="A2377" s="11"/>
      <c r="B2377" s="12"/>
      <c r="C2377" s="12"/>
      <c r="D2377" s="12"/>
      <c r="E2377" s="12"/>
      <c r="F2377" s="12"/>
      <c r="G2377" s="12"/>
      <c r="H2377" s="12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</row>
    <row r="2378">
      <c r="A2378" s="11"/>
      <c r="B2378" s="12"/>
      <c r="C2378" s="12"/>
      <c r="D2378" s="12"/>
      <c r="E2378" s="12"/>
      <c r="F2378" s="12"/>
      <c r="G2378" s="12"/>
      <c r="H2378" s="12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</row>
    <row r="2379">
      <c r="A2379" s="11"/>
      <c r="B2379" s="12"/>
      <c r="C2379" s="12"/>
      <c r="D2379" s="12"/>
      <c r="E2379" s="12"/>
      <c r="F2379" s="12"/>
      <c r="G2379" s="12"/>
      <c r="H2379" s="12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</row>
    <row r="2380">
      <c r="A2380" s="11"/>
      <c r="B2380" s="12"/>
      <c r="C2380" s="12"/>
      <c r="D2380" s="12"/>
      <c r="E2380" s="12"/>
      <c r="F2380" s="12"/>
      <c r="G2380" s="12"/>
      <c r="H2380" s="12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</row>
    <row r="2381">
      <c r="A2381" s="11"/>
      <c r="B2381" s="12"/>
      <c r="C2381" s="12"/>
      <c r="D2381" s="12"/>
      <c r="E2381" s="12"/>
      <c r="F2381" s="12"/>
      <c r="G2381" s="12"/>
      <c r="H2381" s="12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</row>
    <row r="2382">
      <c r="A2382" s="11"/>
      <c r="B2382" s="12"/>
      <c r="C2382" s="12"/>
      <c r="D2382" s="12"/>
      <c r="E2382" s="12"/>
      <c r="F2382" s="12"/>
      <c r="G2382" s="12"/>
      <c r="H2382" s="12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</row>
    <row r="2383">
      <c r="A2383" s="11"/>
      <c r="B2383" s="12"/>
      <c r="C2383" s="12"/>
      <c r="D2383" s="12"/>
      <c r="E2383" s="12"/>
      <c r="F2383" s="12"/>
      <c r="G2383" s="12"/>
      <c r="H2383" s="12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</row>
    <row r="2384">
      <c r="A2384" s="11"/>
      <c r="B2384" s="12"/>
      <c r="C2384" s="12"/>
      <c r="D2384" s="12"/>
      <c r="E2384" s="12"/>
      <c r="F2384" s="12"/>
      <c r="G2384" s="12"/>
      <c r="H2384" s="12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</row>
    <row r="2385">
      <c r="A2385" s="11"/>
      <c r="B2385" s="12"/>
      <c r="C2385" s="12"/>
      <c r="D2385" s="12"/>
      <c r="E2385" s="12"/>
      <c r="F2385" s="12"/>
      <c r="G2385" s="12"/>
      <c r="H2385" s="12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</row>
    <row r="2386">
      <c r="A2386" s="11"/>
      <c r="B2386" s="12"/>
      <c r="C2386" s="12"/>
      <c r="D2386" s="12"/>
      <c r="E2386" s="12"/>
      <c r="F2386" s="12"/>
      <c r="G2386" s="12"/>
      <c r="H2386" s="12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</row>
    <row r="2387">
      <c r="A2387" s="11"/>
      <c r="B2387" s="12"/>
      <c r="C2387" s="12"/>
      <c r="D2387" s="12"/>
      <c r="E2387" s="12"/>
      <c r="F2387" s="12"/>
      <c r="G2387" s="12"/>
      <c r="H2387" s="12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</row>
    <row r="2388">
      <c r="A2388" s="11"/>
      <c r="B2388" s="12"/>
      <c r="C2388" s="12"/>
      <c r="D2388" s="12"/>
      <c r="E2388" s="12"/>
      <c r="F2388" s="12"/>
      <c r="G2388" s="12"/>
      <c r="H2388" s="12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</row>
    <row r="2389">
      <c r="A2389" s="11"/>
      <c r="B2389" s="12"/>
      <c r="C2389" s="12"/>
      <c r="D2389" s="12"/>
      <c r="E2389" s="12"/>
      <c r="F2389" s="12"/>
      <c r="G2389" s="12"/>
      <c r="H2389" s="12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</row>
    <row r="2390">
      <c r="A2390" s="11"/>
      <c r="B2390" s="12"/>
      <c r="C2390" s="12"/>
      <c r="D2390" s="12"/>
      <c r="E2390" s="12"/>
      <c r="F2390" s="12"/>
      <c r="G2390" s="12"/>
      <c r="H2390" s="12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</row>
    <row r="2391">
      <c r="A2391" s="11"/>
      <c r="B2391" s="12"/>
      <c r="C2391" s="12"/>
      <c r="D2391" s="12"/>
      <c r="E2391" s="12"/>
      <c r="F2391" s="12"/>
      <c r="G2391" s="12"/>
      <c r="H2391" s="12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</row>
    <row r="2392">
      <c r="A2392" s="11"/>
      <c r="B2392" s="12"/>
      <c r="C2392" s="12"/>
      <c r="D2392" s="12"/>
      <c r="E2392" s="12"/>
      <c r="F2392" s="12"/>
      <c r="G2392" s="12"/>
      <c r="H2392" s="12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</row>
    <row r="2393">
      <c r="A2393" s="11"/>
      <c r="B2393" s="12"/>
      <c r="C2393" s="12"/>
      <c r="D2393" s="12"/>
      <c r="E2393" s="12"/>
      <c r="F2393" s="12"/>
      <c r="G2393" s="12"/>
      <c r="H2393" s="12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</row>
    <row r="2394">
      <c r="A2394" s="11"/>
      <c r="B2394" s="12"/>
      <c r="C2394" s="12"/>
      <c r="D2394" s="12"/>
      <c r="E2394" s="12"/>
      <c r="F2394" s="12"/>
      <c r="G2394" s="12"/>
      <c r="H2394" s="12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</row>
    <row r="2395">
      <c r="A2395" s="11"/>
      <c r="B2395" s="12"/>
      <c r="C2395" s="12"/>
      <c r="D2395" s="12"/>
      <c r="E2395" s="12"/>
      <c r="F2395" s="12"/>
      <c r="G2395" s="12"/>
      <c r="H2395" s="12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</row>
    <row r="2396">
      <c r="A2396" s="11"/>
      <c r="B2396" s="12"/>
      <c r="C2396" s="12"/>
      <c r="D2396" s="12"/>
      <c r="E2396" s="12"/>
      <c r="F2396" s="12"/>
      <c r="G2396" s="12"/>
      <c r="H2396" s="12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</row>
    <row r="2397">
      <c r="A2397" s="11"/>
      <c r="B2397" s="12"/>
      <c r="C2397" s="12"/>
      <c r="D2397" s="12"/>
      <c r="E2397" s="12"/>
      <c r="F2397" s="12"/>
      <c r="G2397" s="12"/>
      <c r="H2397" s="12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</row>
    <row r="2398">
      <c r="A2398" s="11"/>
      <c r="B2398" s="12"/>
      <c r="C2398" s="12"/>
      <c r="D2398" s="12"/>
      <c r="E2398" s="12"/>
      <c r="F2398" s="12"/>
      <c r="G2398" s="12"/>
      <c r="H2398" s="12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</row>
    <row r="2399">
      <c r="A2399" s="11"/>
      <c r="B2399" s="12"/>
      <c r="C2399" s="12"/>
      <c r="D2399" s="12"/>
      <c r="E2399" s="12"/>
      <c r="F2399" s="12"/>
      <c r="G2399" s="12"/>
      <c r="H2399" s="12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</row>
    <row r="2400">
      <c r="A2400" s="11"/>
      <c r="B2400" s="12"/>
      <c r="C2400" s="12"/>
      <c r="D2400" s="12"/>
      <c r="E2400" s="12"/>
      <c r="F2400" s="12"/>
      <c r="G2400" s="12"/>
      <c r="H2400" s="12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</row>
    <row r="2401">
      <c r="A2401" s="11"/>
      <c r="B2401" s="12"/>
      <c r="C2401" s="12"/>
      <c r="D2401" s="12"/>
      <c r="E2401" s="12"/>
      <c r="F2401" s="12"/>
      <c r="G2401" s="12"/>
      <c r="H2401" s="12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</row>
    <row r="2402">
      <c r="A2402" s="11"/>
      <c r="B2402" s="12"/>
      <c r="C2402" s="12"/>
      <c r="D2402" s="12"/>
      <c r="E2402" s="12"/>
      <c r="F2402" s="12"/>
      <c r="G2402" s="12"/>
      <c r="H2402" s="12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</row>
    <row r="2403">
      <c r="A2403" s="11"/>
      <c r="B2403" s="12"/>
      <c r="C2403" s="12"/>
      <c r="D2403" s="12"/>
      <c r="E2403" s="12"/>
      <c r="F2403" s="12"/>
      <c r="G2403" s="12"/>
      <c r="H2403" s="12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</row>
    <row r="2404">
      <c r="A2404" s="11"/>
      <c r="B2404" s="12"/>
      <c r="C2404" s="12"/>
      <c r="D2404" s="12"/>
      <c r="E2404" s="12"/>
      <c r="F2404" s="12"/>
      <c r="G2404" s="12"/>
      <c r="H2404" s="12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</row>
    <row r="2405">
      <c r="A2405" s="11"/>
      <c r="B2405" s="12"/>
      <c r="C2405" s="12"/>
      <c r="D2405" s="12"/>
      <c r="E2405" s="12"/>
      <c r="F2405" s="12"/>
      <c r="G2405" s="12"/>
      <c r="H2405" s="12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</row>
    <row r="2406">
      <c r="A2406" s="11"/>
      <c r="B2406" s="12"/>
      <c r="C2406" s="12"/>
      <c r="D2406" s="12"/>
      <c r="E2406" s="12"/>
      <c r="F2406" s="12"/>
      <c r="G2406" s="12"/>
      <c r="H2406" s="12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</row>
    <row r="2407">
      <c r="A2407" s="11"/>
      <c r="B2407" s="12"/>
      <c r="C2407" s="12"/>
      <c r="D2407" s="12"/>
      <c r="E2407" s="12"/>
      <c r="F2407" s="12"/>
      <c r="G2407" s="12"/>
      <c r="H2407" s="12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</row>
    <row r="2408">
      <c r="A2408" s="11"/>
      <c r="B2408" s="12"/>
      <c r="C2408" s="12"/>
      <c r="D2408" s="12"/>
      <c r="E2408" s="12"/>
      <c r="F2408" s="12"/>
      <c r="G2408" s="12"/>
      <c r="H2408" s="12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</row>
    <row r="2409">
      <c r="A2409" s="11"/>
      <c r="B2409" s="12"/>
      <c r="C2409" s="12"/>
      <c r="D2409" s="12"/>
      <c r="E2409" s="12"/>
      <c r="F2409" s="12"/>
      <c r="G2409" s="12"/>
      <c r="H2409" s="12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</row>
    <row r="2410">
      <c r="A2410" s="11"/>
      <c r="B2410" s="12"/>
      <c r="C2410" s="12"/>
      <c r="D2410" s="12"/>
      <c r="E2410" s="12"/>
      <c r="F2410" s="12"/>
      <c r="G2410" s="12"/>
      <c r="H2410" s="12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</row>
    <row r="2411">
      <c r="A2411" s="11"/>
      <c r="B2411" s="12"/>
      <c r="C2411" s="12"/>
      <c r="D2411" s="12"/>
      <c r="E2411" s="12"/>
      <c r="F2411" s="12"/>
      <c r="G2411" s="12"/>
      <c r="H2411" s="12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</row>
    <row r="2412">
      <c r="A2412" s="11"/>
      <c r="B2412" s="12"/>
      <c r="C2412" s="12"/>
      <c r="D2412" s="12"/>
      <c r="E2412" s="12"/>
      <c r="F2412" s="12"/>
      <c r="G2412" s="12"/>
      <c r="H2412" s="12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</row>
    <row r="2413">
      <c r="A2413" s="11"/>
      <c r="B2413" s="12"/>
      <c r="C2413" s="12"/>
      <c r="D2413" s="12"/>
      <c r="E2413" s="12"/>
      <c r="F2413" s="12"/>
      <c r="G2413" s="12"/>
      <c r="H2413" s="12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</row>
    <row r="2414">
      <c r="A2414" s="11"/>
      <c r="B2414" s="12"/>
      <c r="C2414" s="12"/>
      <c r="D2414" s="12"/>
      <c r="E2414" s="12"/>
      <c r="F2414" s="12"/>
      <c r="G2414" s="12"/>
      <c r="H2414" s="12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</row>
    <row r="2415">
      <c r="A2415" s="11"/>
      <c r="B2415" s="12"/>
      <c r="C2415" s="12"/>
      <c r="D2415" s="12"/>
      <c r="E2415" s="12"/>
      <c r="F2415" s="12"/>
      <c r="G2415" s="12"/>
      <c r="H2415" s="12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</row>
    <row r="2416">
      <c r="A2416" s="11"/>
      <c r="B2416" s="12"/>
      <c r="C2416" s="12"/>
      <c r="D2416" s="12"/>
      <c r="E2416" s="12"/>
      <c r="F2416" s="12"/>
      <c r="G2416" s="12"/>
      <c r="H2416" s="12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</row>
    <row r="2417">
      <c r="A2417" s="11"/>
      <c r="B2417" s="12"/>
      <c r="C2417" s="12"/>
      <c r="D2417" s="12"/>
      <c r="E2417" s="12"/>
      <c r="F2417" s="12"/>
      <c r="G2417" s="12"/>
      <c r="H2417" s="12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</row>
    <row r="2418">
      <c r="A2418" s="11"/>
      <c r="B2418" s="12"/>
      <c r="C2418" s="12"/>
      <c r="D2418" s="12"/>
      <c r="E2418" s="12"/>
      <c r="F2418" s="12"/>
      <c r="G2418" s="12"/>
      <c r="H2418" s="12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</row>
    <row r="2419">
      <c r="A2419" s="11"/>
      <c r="B2419" s="12"/>
      <c r="C2419" s="12"/>
      <c r="D2419" s="12"/>
      <c r="E2419" s="12"/>
      <c r="F2419" s="12"/>
      <c r="G2419" s="12"/>
      <c r="H2419" s="12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</row>
    <row r="2420">
      <c r="A2420" s="11"/>
      <c r="B2420" s="12"/>
      <c r="C2420" s="12"/>
      <c r="D2420" s="12"/>
      <c r="E2420" s="12"/>
      <c r="F2420" s="12"/>
      <c r="G2420" s="12"/>
      <c r="H2420" s="12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</row>
    <row r="2421">
      <c r="A2421" s="11"/>
      <c r="B2421" s="12"/>
      <c r="C2421" s="12"/>
      <c r="D2421" s="12"/>
      <c r="E2421" s="12"/>
      <c r="F2421" s="12"/>
      <c r="G2421" s="12"/>
      <c r="H2421" s="12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</row>
    <row r="2422">
      <c r="A2422" s="11"/>
      <c r="B2422" s="12"/>
      <c r="C2422" s="12"/>
      <c r="D2422" s="12"/>
      <c r="E2422" s="12"/>
      <c r="F2422" s="12"/>
      <c r="G2422" s="12"/>
      <c r="H2422" s="12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</row>
    <row r="2423">
      <c r="A2423" s="11"/>
      <c r="B2423" s="12"/>
      <c r="C2423" s="12"/>
      <c r="D2423" s="12"/>
      <c r="E2423" s="12"/>
      <c r="F2423" s="12"/>
      <c r="G2423" s="12"/>
      <c r="H2423" s="12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</row>
    <row r="2424">
      <c r="A2424" s="11"/>
      <c r="B2424" s="12"/>
      <c r="C2424" s="12"/>
      <c r="D2424" s="12"/>
      <c r="E2424" s="12"/>
      <c r="F2424" s="12"/>
      <c r="G2424" s="12"/>
      <c r="H2424" s="12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</row>
    <row r="2425">
      <c r="A2425" s="11"/>
      <c r="B2425" s="12"/>
      <c r="C2425" s="12"/>
      <c r="D2425" s="12"/>
      <c r="E2425" s="12"/>
      <c r="F2425" s="12"/>
      <c r="G2425" s="12"/>
      <c r="H2425" s="12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</row>
    <row r="2426">
      <c r="A2426" s="11"/>
      <c r="B2426" s="12"/>
      <c r="C2426" s="12"/>
      <c r="D2426" s="12"/>
      <c r="E2426" s="12"/>
      <c r="F2426" s="12"/>
      <c r="G2426" s="12"/>
      <c r="H2426" s="12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</row>
    <row r="2427">
      <c r="A2427" s="11"/>
      <c r="B2427" s="12"/>
      <c r="C2427" s="12"/>
      <c r="D2427" s="12"/>
      <c r="E2427" s="12"/>
      <c r="F2427" s="12"/>
      <c r="G2427" s="12"/>
      <c r="H2427" s="12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</row>
    <row r="2428">
      <c r="A2428" s="11"/>
      <c r="B2428" s="12"/>
      <c r="C2428" s="12"/>
      <c r="D2428" s="12"/>
      <c r="E2428" s="12"/>
      <c r="F2428" s="12"/>
      <c r="G2428" s="12"/>
      <c r="H2428" s="12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</row>
    <row r="2429">
      <c r="A2429" s="11"/>
      <c r="B2429" s="12"/>
      <c r="C2429" s="12"/>
      <c r="D2429" s="12"/>
      <c r="E2429" s="12"/>
      <c r="F2429" s="12"/>
      <c r="G2429" s="12"/>
      <c r="H2429" s="12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</row>
    <row r="2430">
      <c r="A2430" s="11"/>
      <c r="B2430" s="12"/>
      <c r="C2430" s="12"/>
      <c r="D2430" s="12"/>
      <c r="E2430" s="12"/>
      <c r="F2430" s="12"/>
      <c r="G2430" s="12"/>
      <c r="H2430" s="12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</row>
    <row r="2431">
      <c r="A2431" s="11"/>
      <c r="B2431" s="12"/>
      <c r="C2431" s="12"/>
      <c r="D2431" s="12"/>
      <c r="E2431" s="12"/>
      <c r="F2431" s="12"/>
      <c r="G2431" s="12"/>
      <c r="H2431" s="12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</row>
    <row r="2432">
      <c r="A2432" s="11"/>
      <c r="B2432" s="12"/>
      <c r="C2432" s="12"/>
      <c r="D2432" s="12"/>
      <c r="E2432" s="12"/>
      <c r="F2432" s="12"/>
      <c r="G2432" s="12"/>
      <c r="H2432" s="12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</row>
    <row r="2433">
      <c r="A2433" s="11"/>
      <c r="B2433" s="12"/>
      <c r="C2433" s="12"/>
      <c r="D2433" s="12"/>
      <c r="E2433" s="12"/>
      <c r="F2433" s="12"/>
      <c r="G2433" s="12"/>
      <c r="H2433" s="12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</row>
    <row r="2434">
      <c r="A2434" s="11"/>
      <c r="B2434" s="12"/>
      <c r="C2434" s="12"/>
      <c r="D2434" s="12"/>
      <c r="E2434" s="12"/>
      <c r="F2434" s="12"/>
      <c r="G2434" s="12"/>
      <c r="H2434" s="12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</row>
    <row r="2435">
      <c r="A2435" s="11"/>
      <c r="B2435" s="12"/>
      <c r="C2435" s="12"/>
      <c r="D2435" s="12"/>
      <c r="E2435" s="12"/>
      <c r="F2435" s="12"/>
      <c r="G2435" s="12"/>
      <c r="H2435" s="12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</row>
    <row r="2436">
      <c r="A2436" s="11"/>
      <c r="B2436" s="12"/>
      <c r="C2436" s="12"/>
      <c r="D2436" s="12"/>
      <c r="E2436" s="12"/>
      <c r="F2436" s="12"/>
      <c r="G2436" s="12"/>
      <c r="H2436" s="12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</row>
    <row r="2437">
      <c r="A2437" s="11"/>
      <c r="B2437" s="12"/>
      <c r="C2437" s="12"/>
      <c r="D2437" s="12"/>
      <c r="E2437" s="12"/>
      <c r="F2437" s="12"/>
      <c r="G2437" s="12"/>
      <c r="H2437" s="12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</row>
    <row r="2438">
      <c r="A2438" s="11"/>
      <c r="B2438" s="12"/>
      <c r="C2438" s="12"/>
      <c r="D2438" s="12"/>
      <c r="E2438" s="12"/>
      <c r="F2438" s="12"/>
      <c r="G2438" s="12"/>
      <c r="H2438" s="12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</row>
    <row r="2439">
      <c r="A2439" s="11"/>
      <c r="B2439" s="12"/>
      <c r="C2439" s="12"/>
      <c r="D2439" s="12"/>
      <c r="E2439" s="12"/>
      <c r="F2439" s="12"/>
      <c r="G2439" s="12"/>
      <c r="H2439" s="12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</row>
    <row r="2440">
      <c r="A2440" s="11"/>
      <c r="B2440" s="12"/>
      <c r="C2440" s="12"/>
      <c r="D2440" s="12"/>
      <c r="E2440" s="12"/>
      <c r="F2440" s="12"/>
      <c r="G2440" s="12"/>
      <c r="H2440" s="12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</row>
    <row r="2441">
      <c r="A2441" s="11"/>
      <c r="B2441" s="12"/>
      <c r="C2441" s="12"/>
      <c r="D2441" s="12"/>
      <c r="E2441" s="12"/>
      <c r="F2441" s="12"/>
      <c r="G2441" s="12"/>
      <c r="H2441" s="12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</row>
    <row r="2442">
      <c r="A2442" s="11"/>
      <c r="B2442" s="12"/>
      <c r="C2442" s="12"/>
      <c r="D2442" s="12"/>
      <c r="E2442" s="12"/>
      <c r="F2442" s="12"/>
      <c r="G2442" s="12"/>
      <c r="H2442" s="12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</row>
    <row r="2443">
      <c r="A2443" s="11"/>
      <c r="B2443" s="12"/>
      <c r="C2443" s="12"/>
      <c r="D2443" s="12"/>
      <c r="E2443" s="12"/>
      <c r="F2443" s="12"/>
      <c r="G2443" s="12"/>
      <c r="H2443" s="12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</row>
    <row r="2444">
      <c r="A2444" s="11"/>
      <c r="B2444" s="12"/>
      <c r="C2444" s="12"/>
      <c r="D2444" s="12"/>
      <c r="E2444" s="12"/>
      <c r="F2444" s="12"/>
      <c r="G2444" s="12"/>
      <c r="H2444" s="12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</row>
    <row r="2445">
      <c r="A2445" s="11"/>
      <c r="B2445" s="12"/>
      <c r="C2445" s="12"/>
      <c r="D2445" s="12"/>
      <c r="E2445" s="12"/>
      <c r="F2445" s="12"/>
      <c r="G2445" s="12"/>
      <c r="H2445" s="12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</row>
    <row r="2446">
      <c r="A2446" s="11"/>
      <c r="B2446" s="12"/>
      <c r="C2446" s="12"/>
      <c r="D2446" s="12"/>
      <c r="E2446" s="12"/>
      <c r="F2446" s="12"/>
      <c r="G2446" s="12"/>
      <c r="H2446" s="12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</row>
    <row r="2447">
      <c r="A2447" s="11"/>
      <c r="B2447" s="12"/>
      <c r="C2447" s="12"/>
      <c r="D2447" s="12"/>
      <c r="E2447" s="12"/>
      <c r="F2447" s="12"/>
      <c r="G2447" s="12"/>
      <c r="H2447" s="12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</row>
    <row r="2448">
      <c r="A2448" s="11"/>
      <c r="B2448" s="12"/>
      <c r="C2448" s="12"/>
      <c r="D2448" s="12"/>
      <c r="E2448" s="12"/>
      <c r="F2448" s="12"/>
      <c r="G2448" s="12"/>
      <c r="H2448" s="12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</row>
    <row r="2449">
      <c r="A2449" s="11"/>
      <c r="B2449" s="12"/>
      <c r="C2449" s="12"/>
      <c r="D2449" s="12"/>
      <c r="E2449" s="12"/>
      <c r="F2449" s="12"/>
      <c r="G2449" s="12"/>
      <c r="H2449" s="12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</row>
    <row r="2450">
      <c r="A2450" s="11"/>
      <c r="B2450" s="12"/>
      <c r="C2450" s="12"/>
      <c r="D2450" s="12"/>
      <c r="E2450" s="12"/>
      <c r="F2450" s="12"/>
      <c r="G2450" s="12"/>
      <c r="H2450" s="12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</row>
    <row r="2451">
      <c r="A2451" s="11"/>
      <c r="B2451" s="12"/>
      <c r="C2451" s="12"/>
      <c r="D2451" s="12"/>
      <c r="E2451" s="12"/>
      <c r="F2451" s="12"/>
      <c r="G2451" s="12"/>
      <c r="H2451" s="12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</row>
    <row r="2452">
      <c r="A2452" s="11"/>
      <c r="B2452" s="12"/>
      <c r="C2452" s="12"/>
      <c r="D2452" s="12"/>
      <c r="E2452" s="12"/>
      <c r="F2452" s="12"/>
      <c r="G2452" s="12"/>
      <c r="H2452" s="12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</row>
    <row r="2453">
      <c r="A2453" s="11"/>
      <c r="B2453" s="12"/>
      <c r="C2453" s="12"/>
      <c r="D2453" s="12"/>
      <c r="E2453" s="12"/>
      <c r="F2453" s="12"/>
      <c r="G2453" s="12"/>
      <c r="H2453" s="12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</row>
    <row r="2454">
      <c r="A2454" s="11"/>
      <c r="B2454" s="12"/>
      <c r="C2454" s="12"/>
      <c r="D2454" s="12"/>
      <c r="E2454" s="12"/>
      <c r="F2454" s="12"/>
      <c r="G2454" s="12"/>
      <c r="H2454" s="12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</row>
    <row r="2455">
      <c r="A2455" s="11"/>
      <c r="B2455" s="12"/>
      <c r="C2455" s="12"/>
      <c r="D2455" s="12"/>
      <c r="E2455" s="12"/>
      <c r="F2455" s="12"/>
      <c r="G2455" s="12"/>
      <c r="H2455" s="12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</row>
    <row r="2456">
      <c r="A2456" s="11"/>
      <c r="B2456" s="12"/>
      <c r="C2456" s="12"/>
      <c r="D2456" s="12"/>
      <c r="E2456" s="12"/>
      <c r="F2456" s="12"/>
      <c r="G2456" s="12"/>
      <c r="H2456" s="12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</row>
    <row r="2457">
      <c r="A2457" s="11"/>
      <c r="B2457" s="12"/>
      <c r="C2457" s="12"/>
      <c r="D2457" s="12"/>
      <c r="E2457" s="12"/>
      <c r="F2457" s="12"/>
      <c r="G2457" s="12"/>
      <c r="H2457" s="12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</row>
    <row r="2458">
      <c r="A2458" s="11"/>
      <c r="B2458" s="12"/>
      <c r="C2458" s="12"/>
      <c r="D2458" s="12"/>
      <c r="E2458" s="12"/>
      <c r="F2458" s="12"/>
      <c r="G2458" s="12"/>
      <c r="H2458" s="12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</row>
    <row r="2459">
      <c r="A2459" s="11"/>
      <c r="B2459" s="12"/>
      <c r="C2459" s="12"/>
      <c r="D2459" s="12"/>
      <c r="E2459" s="12"/>
      <c r="F2459" s="12"/>
      <c r="G2459" s="12"/>
      <c r="H2459" s="12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</row>
    <row r="2460">
      <c r="A2460" s="11"/>
      <c r="B2460" s="12"/>
      <c r="C2460" s="12"/>
      <c r="D2460" s="12"/>
      <c r="E2460" s="12"/>
      <c r="F2460" s="12"/>
      <c r="G2460" s="12"/>
      <c r="H2460" s="12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</row>
    <row r="2461">
      <c r="A2461" s="11"/>
      <c r="B2461" s="12"/>
      <c r="C2461" s="12"/>
      <c r="D2461" s="12"/>
      <c r="E2461" s="12"/>
      <c r="F2461" s="12"/>
      <c r="G2461" s="12"/>
      <c r="H2461" s="12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</row>
    <row r="2462">
      <c r="A2462" s="11"/>
      <c r="B2462" s="12"/>
      <c r="C2462" s="12"/>
      <c r="D2462" s="12"/>
      <c r="E2462" s="12"/>
      <c r="F2462" s="12"/>
      <c r="G2462" s="12"/>
      <c r="H2462" s="12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</row>
    <row r="2463">
      <c r="A2463" s="11"/>
      <c r="B2463" s="12"/>
      <c r="C2463" s="12"/>
      <c r="D2463" s="12"/>
      <c r="E2463" s="12"/>
      <c r="F2463" s="12"/>
      <c r="G2463" s="12"/>
      <c r="H2463" s="12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</row>
    <row r="2464">
      <c r="A2464" s="11"/>
      <c r="B2464" s="12"/>
      <c r="C2464" s="12"/>
      <c r="D2464" s="12"/>
      <c r="E2464" s="12"/>
      <c r="F2464" s="12"/>
      <c r="G2464" s="12"/>
      <c r="H2464" s="12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</row>
    <row r="2465">
      <c r="A2465" s="11"/>
      <c r="B2465" s="12"/>
      <c r="C2465" s="12"/>
      <c r="D2465" s="12"/>
      <c r="E2465" s="12"/>
      <c r="F2465" s="12"/>
      <c r="G2465" s="12"/>
      <c r="H2465" s="12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</row>
    <row r="2466">
      <c r="A2466" s="11"/>
      <c r="B2466" s="12"/>
      <c r="C2466" s="12"/>
      <c r="D2466" s="12"/>
      <c r="E2466" s="12"/>
      <c r="F2466" s="12"/>
      <c r="G2466" s="12"/>
      <c r="H2466" s="12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</row>
    <row r="2467">
      <c r="A2467" s="11"/>
      <c r="B2467" s="12"/>
      <c r="C2467" s="12"/>
      <c r="D2467" s="12"/>
      <c r="E2467" s="12"/>
      <c r="F2467" s="12"/>
      <c r="G2467" s="12"/>
      <c r="H2467" s="12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</row>
    <row r="2468">
      <c r="A2468" s="11"/>
      <c r="B2468" s="12"/>
      <c r="C2468" s="12"/>
      <c r="D2468" s="12"/>
      <c r="E2468" s="12"/>
      <c r="F2468" s="12"/>
      <c r="G2468" s="12"/>
      <c r="H2468" s="12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</row>
    <row r="2469">
      <c r="A2469" s="11"/>
      <c r="B2469" s="12"/>
      <c r="C2469" s="12"/>
      <c r="D2469" s="12"/>
      <c r="E2469" s="12"/>
      <c r="F2469" s="12"/>
      <c r="G2469" s="12"/>
      <c r="H2469" s="12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</row>
    <row r="2470">
      <c r="A2470" s="11"/>
      <c r="B2470" s="12"/>
      <c r="C2470" s="12"/>
      <c r="D2470" s="12"/>
      <c r="E2470" s="12"/>
      <c r="F2470" s="12"/>
      <c r="G2470" s="12"/>
      <c r="H2470" s="12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</row>
    <row r="2471">
      <c r="A2471" s="11"/>
      <c r="B2471" s="12"/>
      <c r="C2471" s="12"/>
      <c r="D2471" s="12"/>
      <c r="E2471" s="12"/>
      <c r="F2471" s="12"/>
      <c r="G2471" s="12"/>
      <c r="H2471" s="12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</row>
    <row r="2472">
      <c r="A2472" s="11"/>
      <c r="B2472" s="12"/>
      <c r="C2472" s="12"/>
      <c r="D2472" s="12"/>
      <c r="E2472" s="12"/>
      <c r="F2472" s="12"/>
      <c r="G2472" s="12"/>
      <c r="H2472" s="12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</row>
    <row r="2473">
      <c r="A2473" s="11"/>
      <c r="B2473" s="12"/>
      <c r="C2473" s="12"/>
      <c r="D2473" s="12"/>
      <c r="E2473" s="12"/>
      <c r="F2473" s="12"/>
      <c r="G2473" s="12"/>
      <c r="H2473" s="12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</row>
    <row r="2474">
      <c r="A2474" s="11"/>
      <c r="B2474" s="12"/>
      <c r="C2474" s="12"/>
      <c r="D2474" s="12"/>
      <c r="E2474" s="12"/>
      <c r="F2474" s="12"/>
      <c r="G2474" s="12"/>
      <c r="H2474" s="12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</row>
    <row r="2475">
      <c r="A2475" s="11"/>
      <c r="B2475" s="12"/>
      <c r="C2475" s="12"/>
      <c r="D2475" s="12"/>
      <c r="E2475" s="12"/>
      <c r="F2475" s="12"/>
      <c r="G2475" s="12"/>
      <c r="H2475" s="12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</row>
    <row r="2476">
      <c r="A2476" s="11"/>
      <c r="B2476" s="12"/>
      <c r="C2476" s="12"/>
      <c r="D2476" s="12"/>
      <c r="E2476" s="12"/>
      <c r="F2476" s="12"/>
      <c r="G2476" s="12"/>
      <c r="H2476" s="12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</row>
    <row r="2477">
      <c r="A2477" s="11"/>
      <c r="B2477" s="12"/>
      <c r="C2477" s="12"/>
      <c r="D2477" s="12"/>
      <c r="E2477" s="12"/>
      <c r="F2477" s="12"/>
      <c r="G2477" s="12"/>
      <c r="H2477" s="12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</row>
    <row r="2478">
      <c r="A2478" s="11"/>
      <c r="B2478" s="12"/>
      <c r="C2478" s="12"/>
      <c r="D2478" s="12"/>
      <c r="E2478" s="12"/>
      <c r="F2478" s="12"/>
      <c r="G2478" s="12"/>
      <c r="H2478" s="12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</row>
    <row r="2479">
      <c r="A2479" s="11"/>
      <c r="B2479" s="12"/>
      <c r="C2479" s="12"/>
      <c r="D2479" s="12"/>
      <c r="E2479" s="12"/>
      <c r="F2479" s="12"/>
      <c r="G2479" s="12"/>
      <c r="H2479" s="12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</row>
    <row r="2480">
      <c r="A2480" s="11"/>
      <c r="B2480" s="12"/>
      <c r="C2480" s="12"/>
      <c r="D2480" s="12"/>
      <c r="E2480" s="12"/>
      <c r="F2480" s="12"/>
      <c r="G2480" s="12"/>
      <c r="H2480" s="12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</row>
    <row r="2481">
      <c r="A2481" s="11"/>
      <c r="B2481" s="12"/>
      <c r="C2481" s="12"/>
      <c r="D2481" s="12"/>
      <c r="E2481" s="12"/>
      <c r="F2481" s="12"/>
      <c r="G2481" s="12"/>
      <c r="H2481" s="12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</row>
    <row r="2482">
      <c r="A2482" s="11"/>
      <c r="B2482" s="12"/>
      <c r="C2482" s="12"/>
      <c r="D2482" s="12"/>
      <c r="E2482" s="12"/>
      <c r="F2482" s="12"/>
      <c r="G2482" s="12"/>
      <c r="H2482" s="12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</row>
    <row r="2483">
      <c r="A2483" s="11"/>
      <c r="B2483" s="12"/>
      <c r="C2483" s="12"/>
      <c r="D2483" s="12"/>
      <c r="E2483" s="12"/>
      <c r="F2483" s="12"/>
      <c r="G2483" s="12"/>
      <c r="H2483" s="12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</row>
    <row r="2484">
      <c r="A2484" s="11"/>
      <c r="B2484" s="12"/>
      <c r="C2484" s="12"/>
      <c r="D2484" s="12"/>
      <c r="E2484" s="12"/>
      <c r="F2484" s="12"/>
      <c r="G2484" s="12"/>
      <c r="H2484" s="12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</row>
    <row r="2485">
      <c r="A2485" s="11"/>
      <c r="B2485" s="12"/>
      <c r="C2485" s="12"/>
      <c r="D2485" s="12"/>
      <c r="E2485" s="12"/>
      <c r="F2485" s="12"/>
      <c r="G2485" s="12"/>
      <c r="H2485" s="12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</row>
    <row r="2486">
      <c r="A2486" s="11"/>
      <c r="B2486" s="12"/>
      <c r="C2486" s="12"/>
      <c r="D2486" s="12"/>
      <c r="E2486" s="12"/>
      <c r="F2486" s="12"/>
      <c r="G2486" s="12"/>
      <c r="H2486" s="12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</row>
    <row r="2487">
      <c r="A2487" s="11"/>
      <c r="B2487" s="12"/>
      <c r="C2487" s="12"/>
      <c r="D2487" s="12"/>
      <c r="E2487" s="12"/>
      <c r="F2487" s="12"/>
      <c r="G2487" s="12"/>
      <c r="H2487" s="12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</row>
    <row r="2488">
      <c r="A2488" s="11"/>
      <c r="B2488" s="12"/>
      <c r="C2488" s="12"/>
      <c r="D2488" s="12"/>
      <c r="E2488" s="12"/>
      <c r="F2488" s="12"/>
      <c r="G2488" s="12"/>
      <c r="H2488" s="12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</row>
    <row r="2489">
      <c r="A2489" s="11"/>
      <c r="B2489" s="12"/>
      <c r="C2489" s="12"/>
      <c r="D2489" s="12"/>
      <c r="E2489" s="12"/>
      <c r="F2489" s="12"/>
      <c r="G2489" s="12"/>
      <c r="H2489" s="12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</row>
    <row r="2490">
      <c r="A2490" s="11"/>
      <c r="B2490" s="12"/>
      <c r="C2490" s="12"/>
      <c r="D2490" s="12"/>
      <c r="E2490" s="12"/>
      <c r="F2490" s="12"/>
      <c r="G2490" s="12"/>
      <c r="H2490" s="12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</row>
    <row r="2491">
      <c r="A2491" s="11"/>
      <c r="B2491" s="12"/>
      <c r="C2491" s="12"/>
      <c r="D2491" s="12"/>
      <c r="E2491" s="12"/>
      <c r="F2491" s="12"/>
      <c r="G2491" s="12"/>
      <c r="H2491" s="12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</row>
    <row r="2492">
      <c r="A2492" s="11"/>
      <c r="B2492" s="12"/>
      <c r="C2492" s="12"/>
      <c r="D2492" s="12"/>
      <c r="E2492" s="12"/>
      <c r="F2492" s="12"/>
      <c r="G2492" s="12"/>
      <c r="H2492" s="12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</row>
    <row r="2493">
      <c r="A2493" s="11"/>
      <c r="B2493" s="12"/>
      <c r="C2493" s="12"/>
      <c r="D2493" s="12"/>
      <c r="E2493" s="12"/>
      <c r="F2493" s="12"/>
      <c r="G2493" s="12"/>
      <c r="H2493" s="12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</row>
    <row r="2494">
      <c r="A2494" s="11"/>
      <c r="B2494" s="12"/>
      <c r="C2494" s="12"/>
      <c r="D2494" s="12"/>
      <c r="E2494" s="12"/>
      <c r="F2494" s="12"/>
      <c r="G2494" s="12"/>
      <c r="H2494" s="12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</row>
    <row r="2495">
      <c r="A2495" s="11"/>
      <c r="B2495" s="12"/>
      <c r="C2495" s="12"/>
      <c r="D2495" s="12"/>
      <c r="E2495" s="12"/>
      <c r="F2495" s="12"/>
      <c r="G2495" s="12"/>
      <c r="H2495" s="12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</row>
    <row r="2496">
      <c r="A2496" s="11"/>
      <c r="B2496" s="12"/>
      <c r="C2496" s="12"/>
      <c r="D2496" s="12"/>
      <c r="E2496" s="12"/>
      <c r="F2496" s="12"/>
      <c r="G2496" s="12"/>
      <c r="H2496" s="12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</row>
    <row r="2497">
      <c r="A2497" s="11"/>
      <c r="B2497" s="12"/>
      <c r="C2497" s="12"/>
      <c r="D2497" s="12"/>
      <c r="E2497" s="12"/>
      <c r="F2497" s="12"/>
      <c r="G2497" s="12"/>
      <c r="H2497" s="12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</row>
    <row r="2498">
      <c r="A2498" s="11"/>
      <c r="B2498" s="12"/>
      <c r="C2498" s="12"/>
      <c r="D2498" s="12"/>
      <c r="E2498" s="12"/>
      <c r="F2498" s="12"/>
      <c r="G2498" s="12"/>
      <c r="H2498" s="12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</row>
    <row r="2499">
      <c r="A2499" s="11"/>
      <c r="B2499" s="12"/>
      <c r="C2499" s="12"/>
      <c r="D2499" s="12"/>
      <c r="E2499" s="12"/>
      <c r="F2499" s="12"/>
      <c r="G2499" s="12"/>
      <c r="H2499" s="12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</row>
    <row r="2500">
      <c r="A2500" s="11"/>
      <c r="B2500" s="12"/>
      <c r="C2500" s="12"/>
      <c r="D2500" s="12"/>
      <c r="E2500" s="12"/>
      <c r="F2500" s="12"/>
      <c r="G2500" s="12"/>
      <c r="H2500" s="12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</row>
    <row r="2501">
      <c r="A2501" s="11"/>
      <c r="B2501" s="12"/>
      <c r="C2501" s="12"/>
      <c r="D2501" s="12"/>
      <c r="E2501" s="12"/>
      <c r="F2501" s="12"/>
      <c r="G2501" s="12"/>
      <c r="H2501" s="12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</row>
    <row r="2502">
      <c r="A2502" s="11"/>
      <c r="B2502" s="12"/>
      <c r="C2502" s="12"/>
      <c r="D2502" s="12"/>
      <c r="E2502" s="12"/>
      <c r="F2502" s="12"/>
      <c r="G2502" s="12"/>
      <c r="H2502" s="12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</row>
    <row r="2503">
      <c r="A2503" s="11"/>
      <c r="B2503" s="12"/>
      <c r="C2503" s="12"/>
      <c r="D2503" s="12"/>
      <c r="E2503" s="12"/>
      <c r="F2503" s="12"/>
      <c r="G2503" s="12"/>
      <c r="H2503" s="12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</row>
    <row r="2504">
      <c r="A2504" s="11"/>
      <c r="B2504" s="12"/>
      <c r="C2504" s="12"/>
      <c r="D2504" s="12"/>
      <c r="E2504" s="12"/>
      <c r="F2504" s="12"/>
      <c r="G2504" s="12"/>
      <c r="H2504" s="12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</row>
    <row r="2505">
      <c r="A2505" s="11"/>
      <c r="B2505" s="12"/>
      <c r="C2505" s="12"/>
      <c r="D2505" s="12"/>
      <c r="E2505" s="12"/>
      <c r="F2505" s="12"/>
      <c r="G2505" s="12"/>
      <c r="H2505" s="12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</row>
    <row r="2506">
      <c r="A2506" s="11"/>
      <c r="B2506" s="12"/>
      <c r="C2506" s="12"/>
      <c r="D2506" s="12"/>
      <c r="E2506" s="12"/>
      <c r="F2506" s="12"/>
      <c r="G2506" s="12"/>
      <c r="H2506" s="12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</row>
    <row r="2507">
      <c r="A2507" s="11"/>
      <c r="B2507" s="12"/>
      <c r="C2507" s="12"/>
      <c r="D2507" s="12"/>
      <c r="E2507" s="12"/>
      <c r="F2507" s="12"/>
      <c r="G2507" s="12"/>
      <c r="H2507" s="12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</row>
    <row r="2508">
      <c r="A2508" s="11"/>
      <c r="B2508" s="12"/>
      <c r="C2508" s="12"/>
      <c r="D2508" s="12"/>
      <c r="E2508" s="12"/>
      <c r="F2508" s="12"/>
      <c r="G2508" s="12"/>
      <c r="H2508" s="12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</row>
    <row r="2509">
      <c r="A2509" s="11"/>
      <c r="B2509" s="12"/>
      <c r="C2509" s="12"/>
      <c r="D2509" s="12"/>
      <c r="E2509" s="12"/>
      <c r="F2509" s="12"/>
      <c r="G2509" s="12"/>
      <c r="H2509" s="12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</row>
    <row r="2510">
      <c r="A2510" s="11"/>
      <c r="B2510" s="12"/>
      <c r="C2510" s="12"/>
      <c r="D2510" s="12"/>
      <c r="E2510" s="12"/>
      <c r="F2510" s="12"/>
      <c r="G2510" s="12"/>
      <c r="H2510" s="12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</row>
    <row r="2511">
      <c r="A2511" s="11"/>
      <c r="B2511" s="12"/>
      <c r="C2511" s="12"/>
      <c r="D2511" s="12"/>
      <c r="E2511" s="12"/>
      <c r="F2511" s="12"/>
      <c r="G2511" s="12"/>
      <c r="H2511" s="12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</row>
    <row r="2512">
      <c r="A2512" s="11"/>
      <c r="B2512" s="12"/>
      <c r="C2512" s="12"/>
      <c r="D2512" s="12"/>
      <c r="E2512" s="12"/>
      <c r="F2512" s="12"/>
      <c r="G2512" s="12"/>
      <c r="H2512" s="12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</row>
    <row r="2513">
      <c r="A2513" s="11"/>
      <c r="B2513" s="12"/>
      <c r="C2513" s="12"/>
      <c r="D2513" s="12"/>
      <c r="E2513" s="12"/>
      <c r="F2513" s="12"/>
      <c r="G2513" s="12"/>
      <c r="H2513" s="12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</row>
    <row r="2514">
      <c r="A2514" s="11"/>
      <c r="B2514" s="12"/>
      <c r="C2514" s="12"/>
      <c r="D2514" s="12"/>
      <c r="E2514" s="12"/>
      <c r="F2514" s="12"/>
      <c r="G2514" s="12"/>
      <c r="H2514" s="12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</row>
    <row r="2515">
      <c r="A2515" s="11"/>
      <c r="B2515" s="12"/>
      <c r="C2515" s="12"/>
      <c r="D2515" s="12"/>
      <c r="E2515" s="12"/>
      <c r="F2515" s="12"/>
      <c r="G2515" s="12"/>
      <c r="H2515" s="12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</row>
    <row r="2516">
      <c r="A2516" s="11"/>
      <c r="B2516" s="12"/>
      <c r="C2516" s="12"/>
      <c r="D2516" s="12"/>
      <c r="E2516" s="12"/>
      <c r="F2516" s="12"/>
      <c r="G2516" s="12"/>
      <c r="H2516" s="12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</row>
    <row r="2517">
      <c r="A2517" s="11"/>
      <c r="B2517" s="12"/>
      <c r="C2517" s="12"/>
      <c r="D2517" s="12"/>
      <c r="E2517" s="12"/>
      <c r="F2517" s="12"/>
      <c r="G2517" s="12"/>
      <c r="H2517" s="12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</row>
    <row r="2518">
      <c r="A2518" s="11"/>
      <c r="B2518" s="12"/>
      <c r="C2518" s="12"/>
      <c r="D2518" s="12"/>
      <c r="E2518" s="12"/>
      <c r="F2518" s="12"/>
      <c r="G2518" s="12"/>
      <c r="H2518" s="12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</row>
    <row r="2519">
      <c r="A2519" s="11"/>
      <c r="B2519" s="12"/>
      <c r="C2519" s="12"/>
      <c r="D2519" s="12"/>
      <c r="E2519" s="12"/>
      <c r="F2519" s="12"/>
      <c r="G2519" s="12"/>
      <c r="H2519" s="12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</row>
    <row r="2520">
      <c r="A2520" s="11"/>
      <c r="B2520" s="12"/>
      <c r="C2520" s="12"/>
      <c r="D2520" s="12"/>
      <c r="E2520" s="12"/>
      <c r="F2520" s="12"/>
      <c r="G2520" s="12"/>
      <c r="H2520" s="12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</row>
    <row r="2521">
      <c r="A2521" s="11"/>
      <c r="B2521" s="12"/>
      <c r="C2521" s="12"/>
      <c r="D2521" s="12"/>
      <c r="E2521" s="12"/>
      <c r="F2521" s="12"/>
      <c r="G2521" s="12"/>
      <c r="H2521" s="12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</row>
    <row r="2522">
      <c r="A2522" s="11"/>
      <c r="B2522" s="12"/>
      <c r="C2522" s="12"/>
      <c r="D2522" s="12"/>
      <c r="E2522" s="12"/>
      <c r="F2522" s="12"/>
      <c r="G2522" s="12"/>
      <c r="H2522" s="12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</row>
    <row r="2523">
      <c r="A2523" s="11"/>
      <c r="B2523" s="12"/>
      <c r="C2523" s="12"/>
      <c r="D2523" s="12"/>
      <c r="E2523" s="12"/>
      <c r="F2523" s="12"/>
      <c r="G2523" s="12"/>
      <c r="H2523" s="12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</row>
    <row r="2524">
      <c r="A2524" s="11"/>
      <c r="B2524" s="12"/>
      <c r="C2524" s="12"/>
      <c r="D2524" s="12"/>
      <c r="E2524" s="12"/>
      <c r="F2524" s="12"/>
      <c r="G2524" s="12"/>
      <c r="H2524" s="12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</row>
    <row r="2525">
      <c r="A2525" s="11"/>
      <c r="B2525" s="12"/>
      <c r="C2525" s="12"/>
      <c r="D2525" s="12"/>
      <c r="E2525" s="12"/>
      <c r="F2525" s="12"/>
      <c r="G2525" s="12"/>
      <c r="H2525" s="12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</row>
    <row r="2526">
      <c r="A2526" s="11"/>
      <c r="B2526" s="12"/>
      <c r="C2526" s="12"/>
      <c r="D2526" s="12"/>
      <c r="E2526" s="12"/>
      <c r="F2526" s="12"/>
      <c r="G2526" s="12"/>
      <c r="H2526" s="12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</row>
    <row r="2527">
      <c r="A2527" s="11"/>
      <c r="B2527" s="12"/>
      <c r="C2527" s="12"/>
      <c r="D2527" s="12"/>
      <c r="E2527" s="12"/>
      <c r="F2527" s="12"/>
      <c r="G2527" s="12"/>
      <c r="H2527" s="12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</row>
    <row r="2528">
      <c r="A2528" s="11"/>
      <c r="B2528" s="12"/>
      <c r="C2528" s="12"/>
      <c r="D2528" s="12"/>
      <c r="E2528" s="12"/>
      <c r="F2528" s="12"/>
      <c r="G2528" s="12"/>
      <c r="H2528" s="12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</row>
    <row r="2529">
      <c r="A2529" s="11"/>
      <c r="B2529" s="12"/>
      <c r="C2529" s="12"/>
      <c r="D2529" s="12"/>
      <c r="E2529" s="12"/>
      <c r="F2529" s="12"/>
      <c r="G2529" s="12"/>
      <c r="H2529" s="12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</row>
    <row r="2530">
      <c r="A2530" s="11"/>
      <c r="B2530" s="12"/>
      <c r="C2530" s="12"/>
      <c r="D2530" s="12"/>
      <c r="E2530" s="12"/>
      <c r="F2530" s="12"/>
      <c r="G2530" s="12"/>
      <c r="H2530" s="12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</row>
    <row r="2531">
      <c r="A2531" s="11"/>
      <c r="B2531" s="12"/>
      <c r="C2531" s="12"/>
      <c r="D2531" s="12"/>
      <c r="E2531" s="12"/>
      <c r="F2531" s="12"/>
      <c r="G2531" s="12"/>
      <c r="H2531" s="12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</row>
    <row r="2532">
      <c r="A2532" s="11"/>
      <c r="B2532" s="12"/>
      <c r="C2532" s="12"/>
      <c r="D2532" s="12"/>
      <c r="E2532" s="12"/>
      <c r="F2532" s="12"/>
      <c r="G2532" s="12"/>
      <c r="H2532" s="12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</row>
    <row r="2533">
      <c r="A2533" s="11"/>
      <c r="B2533" s="12"/>
      <c r="C2533" s="12"/>
      <c r="D2533" s="12"/>
      <c r="E2533" s="12"/>
      <c r="F2533" s="12"/>
      <c r="G2533" s="12"/>
      <c r="H2533" s="12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</row>
    <row r="2534">
      <c r="A2534" s="11"/>
      <c r="B2534" s="12"/>
      <c r="C2534" s="12"/>
      <c r="D2534" s="12"/>
      <c r="E2534" s="12"/>
      <c r="F2534" s="12"/>
      <c r="G2534" s="12"/>
      <c r="H2534" s="12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</row>
    <row r="2535">
      <c r="A2535" s="11"/>
      <c r="B2535" s="12"/>
      <c r="C2535" s="12"/>
      <c r="D2535" s="12"/>
      <c r="E2535" s="12"/>
      <c r="F2535" s="12"/>
      <c r="G2535" s="12"/>
      <c r="H2535" s="12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</row>
    <row r="2536">
      <c r="A2536" s="11"/>
      <c r="B2536" s="12"/>
      <c r="C2536" s="12"/>
      <c r="D2536" s="12"/>
      <c r="E2536" s="12"/>
      <c r="F2536" s="12"/>
      <c r="G2536" s="12"/>
      <c r="H2536" s="12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</row>
    <row r="2537">
      <c r="A2537" s="11"/>
      <c r="B2537" s="12"/>
      <c r="C2537" s="12"/>
      <c r="D2537" s="12"/>
      <c r="E2537" s="12"/>
      <c r="F2537" s="12"/>
      <c r="G2537" s="12"/>
      <c r="H2537" s="12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</row>
    <row r="2538">
      <c r="A2538" s="11"/>
      <c r="B2538" s="12"/>
      <c r="C2538" s="12"/>
      <c r="D2538" s="12"/>
      <c r="E2538" s="12"/>
      <c r="F2538" s="12"/>
      <c r="G2538" s="12"/>
      <c r="H2538" s="12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</row>
    <row r="2539">
      <c r="A2539" s="11"/>
      <c r="B2539" s="12"/>
      <c r="C2539" s="12"/>
      <c r="D2539" s="12"/>
      <c r="E2539" s="12"/>
      <c r="F2539" s="12"/>
      <c r="G2539" s="12"/>
      <c r="H2539" s="12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</row>
    <row r="2540">
      <c r="A2540" s="11"/>
      <c r="B2540" s="12"/>
      <c r="C2540" s="12"/>
      <c r="D2540" s="12"/>
      <c r="E2540" s="12"/>
      <c r="F2540" s="12"/>
      <c r="G2540" s="12"/>
      <c r="H2540" s="12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</row>
    <row r="2541">
      <c r="A2541" s="11"/>
      <c r="B2541" s="12"/>
      <c r="C2541" s="12"/>
      <c r="D2541" s="12"/>
      <c r="E2541" s="12"/>
      <c r="F2541" s="12"/>
      <c r="G2541" s="12"/>
      <c r="H2541" s="12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</row>
    <row r="2542">
      <c r="A2542" s="11"/>
      <c r="B2542" s="12"/>
      <c r="C2542" s="12"/>
      <c r="D2542" s="12"/>
      <c r="E2542" s="12"/>
      <c r="F2542" s="12"/>
      <c r="G2542" s="12"/>
      <c r="H2542" s="12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</row>
    <row r="2543">
      <c r="A2543" s="11"/>
      <c r="B2543" s="12"/>
      <c r="C2543" s="12"/>
      <c r="D2543" s="12"/>
      <c r="E2543" s="12"/>
      <c r="F2543" s="12"/>
      <c r="G2543" s="12"/>
      <c r="H2543" s="12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</row>
    <row r="2544">
      <c r="A2544" s="11"/>
      <c r="B2544" s="12"/>
      <c r="C2544" s="12"/>
      <c r="D2544" s="12"/>
      <c r="E2544" s="12"/>
      <c r="F2544" s="12"/>
      <c r="G2544" s="12"/>
      <c r="H2544" s="12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</row>
    <row r="2545">
      <c r="A2545" s="11"/>
      <c r="B2545" s="12"/>
      <c r="C2545" s="12"/>
      <c r="D2545" s="12"/>
      <c r="E2545" s="12"/>
      <c r="F2545" s="12"/>
      <c r="G2545" s="12"/>
      <c r="H2545" s="12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</row>
    <row r="2546">
      <c r="A2546" s="11"/>
      <c r="B2546" s="12"/>
      <c r="C2546" s="12"/>
      <c r="D2546" s="12"/>
      <c r="E2546" s="12"/>
      <c r="F2546" s="12"/>
      <c r="G2546" s="12"/>
      <c r="H2546" s="12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</row>
    <row r="2547">
      <c r="A2547" s="11"/>
      <c r="B2547" s="12"/>
      <c r="C2547" s="12"/>
      <c r="D2547" s="12"/>
      <c r="E2547" s="12"/>
      <c r="F2547" s="12"/>
      <c r="G2547" s="12"/>
      <c r="H2547" s="12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</row>
    <row r="2548">
      <c r="A2548" s="11"/>
      <c r="B2548" s="12"/>
      <c r="C2548" s="12"/>
      <c r="D2548" s="12"/>
      <c r="E2548" s="12"/>
      <c r="F2548" s="12"/>
      <c r="G2548" s="12"/>
      <c r="H2548" s="12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</row>
    <row r="2549">
      <c r="A2549" s="11"/>
      <c r="B2549" s="12"/>
      <c r="C2549" s="12"/>
      <c r="D2549" s="12"/>
      <c r="E2549" s="12"/>
      <c r="F2549" s="12"/>
      <c r="G2549" s="12"/>
      <c r="H2549" s="12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</row>
    <row r="2550">
      <c r="A2550" s="11"/>
      <c r="B2550" s="12"/>
      <c r="C2550" s="12"/>
      <c r="D2550" s="12"/>
      <c r="E2550" s="12"/>
      <c r="F2550" s="12"/>
      <c r="G2550" s="12"/>
      <c r="H2550" s="12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</row>
    <row r="2551">
      <c r="A2551" s="11"/>
      <c r="B2551" s="12"/>
      <c r="C2551" s="12"/>
      <c r="D2551" s="12"/>
      <c r="E2551" s="12"/>
      <c r="F2551" s="12"/>
      <c r="G2551" s="12"/>
      <c r="H2551" s="12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</row>
    <row r="2552">
      <c r="A2552" s="11"/>
      <c r="B2552" s="12"/>
      <c r="C2552" s="12"/>
      <c r="D2552" s="12"/>
      <c r="E2552" s="12"/>
      <c r="F2552" s="12"/>
      <c r="G2552" s="12"/>
      <c r="H2552" s="12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</row>
    <row r="2553">
      <c r="A2553" s="11"/>
      <c r="B2553" s="12"/>
      <c r="C2553" s="12"/>
      <c r="D2553" s="12"/>
      <c r="E2553" s="12"/>
      <c r="F2553" s="12"/>
      <c r="G2553" s="12"/>
      <c r="H2553" s="12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</row>
    <row r="2554">
      <c r="A2554" s="11"/>
      <c r="B2554" s="12"/>
      <c r="C2554" s="12"/>
      <c r="D2554" s="12"/>
      <c r="E2554" s="12"/>
      <c r="F2554" s="12"/>
      <c r="G2554" s="12"/>
      <c r="H2554" s="12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</row>
    <row r="2555">
      <c r="A2555" s="11"/>
      <c r="B2555" s="12"/>
      <c r="C2555" s="12"/>
      <c r="D2555" s="12"/>
      <c r="E2555" s="12"/>
      <c r="F2555" s="12"/>
      <c r="G2555" s="12"/>
      <c r="H2555" s="12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</row>
    <row r="2556">
      <c r="A2556" s="11"/>
      <c r="B2556" s="12"/>
      <c r="C2556" s="12"/>
      <c r="D2556" s="12"/>
      <c r="E2556" s="12"/>
      <c r="F2556" s="12"/>
      <c r="G2556" s="12"/>
      <c r="H2556" s="12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</row>
    <row r="2557">
      <c r="A2557" s="11"/>
      <c r="B2557" s="12"/>
      <c r="C2557" s="12"/>
      <c r="D2557" s="12"/>
      <c r="E2557" s="12"/>
      <c r="F2557" s="12"/>
      <c r="G2557" s="12"/>
      <c r="H2557" s="12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</row>
    <row r="2558">
      <c r="A2558" s="11"/>
      <c r="B2558" s="12"/>
      <c r="C2558" s="12"/>
      <c r="D2558" s="12"/>
      <c r="E2558" s="12"/>
      <c r="F2558" s="12"/>
      <c r="G2558" s="12"/>
      <c r="H2558" s="12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</row>
    <row r="2559">
      <c r="A2559" s="11"/>
      <c r="B2559" s="12"/>
      <c r="C2559" s="12"/>
      <c r="D2559" s="12"/>
      <c r="E2559" s="12"/>
      <c r="F2559" s="12"/>
      <c r="G2559" s="12"/>
      <c r="H2559" s="12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</row>
    <row r="2560">
      <c r="A2560" s="11"/>
      <c r="B2560" s="12"/>
      <c r="C2560" s="12"/>
      <c r="D2560" s="12"/>
      <c r="E2560" s="12"/>
      <c r="F2560" s="12"/>
      <c r="G2560" s="12"/>
      <c r="H2560" s="12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</row>
    <row r="2561">
      <c r="A2561" s="11"/>
      <c r="B2561" s="12"/>
      <c r="C2561" s="12"/>
      <c r="D2561" s="12"/>
      <c r="E2561" s="12"/>
      <c r="F2561" s="12"/>
      <c r="G2561" s="12"/>
      <c r="H2561" s="12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</row>
    <row r="2562">
      <c r="A2562" s="11"/>
      <c r="B2562" s="12"/>
      <c r="C2562" s="12"/>
      <c r="D2562" s="12"/>
      <c r="E2562" s="12"/>
      <c r="F2562" s="12"/>
      <c r="G2562" s="12"/>
      <c r="H2562" s="12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</row>
    <row r="2563">
      <c r="A2563" s="11"/>
      <c r="B2563" s="12"/>
      <c r="C2563" s="12"/>
      <c r="D2563" s="12"/>
      <c r="E2563" s="12"/>
      <c r="F2563" s="12"/>
      <c r="G2563" s="12"/>
      <c r="H2563" s="12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</row>
    <row r="2564">
      <c r="A2564" s="11"/>
      <c r="B2564" s="12"/>
      <c r="C2564" s="12"/>
      <c r="D2564" s="12"/>
      <c r="E2564" s="12"/>
      <c r="F2564" s="12"/>
      <c r="G2564" s="12"/>
      <c r="H2564" s="12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</row>
    <row r="2565">
      <c r="A2565" s="11"/>
      <c r="B2565" s="12"/>
      <c r="C2565" s="12"/>
      <c r="D2565" s="12"/>
      <c r="E2565" s="12"/>
      <c r="F2565" s="12"/>
      <c r="G2565" s="12"/>
      <c r="H2565" s="12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</row>
    <row r="2566">
      <c r="A2566" s="11"/>
      <c r="B2566" s="12"/>
      <c r="C2566" s="12"/>
      <c r="D2566" s="12"/>
      <c r="E2566" s="12"/>
      <c r="F2566" s="12"/>
      <c r="G2566" s="12"/>
      <c r="H2566" s="12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</row>
    <row r="2567">
      <c r="A2567" s="11"/>
      <c r="B2567" s="12"/>
      <c r="C2567" s="12"/>
      <c r="D2567" s="12"/>
      <c r="E2567" s="12"/>
      <c r="F2567" s="12"/>
      <c r="G2567" s="12"/>
      <c r="H2567" s="12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</row>
    <row r="2568">
      <c r="A2568" s="11"/>
      <c r="B2568" s="12"/>
      <c r="C2568" s="12"/>
      <c r="D2568" s="12"/>
      <c r="E2568" s="12"/>
      <c r="F2568" s="12"/>
      <c r="G2568" s="12"/>
      <c r="H2568" s="12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</row>
    <row r="2569">
      <c r="A2569" s="11"/>
      <c r="B2569" s="12"/>
      <c r="C2569" s="12"/>
      <c r="D2569" s="12"/>
      <c r="E2569" s="12"/>
      <c r="F2569" s="12"/>
      <c r="G2569" s="12"/>
      <c r="H2569" s="12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</row>
    <row r="2570">
      <c r="A2570" s="11"/>
      <c r="B2570" s="12"/>
      <c r="C2570" s="12"/>
      <c r="D2570" s="12"/>
      <c r="E2570" s="12"/>
      <c r="F2570" s="12"/>
      <c r="G2570" s="12"/>
      <c r="H2570" s="12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</row>
    <row r="2571">
      <c r="A2571" s="11"/>
      <c r="B2571" s="12"/>
      <c r="C2571" s="12"/>
      <c r="D2571" s="12"/>
      <c r="E2571" s="12"/>
      <c r="F2571" s="12"/>
      <c r="G2571" s="12"/>
      <c r="H2571" s="12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</row>
    <row r="2572">
      <c r="A2572" s="11"/>
      <c r="B2572" s="12"/>
      <c r="C2572" s="12"/>
      <c r="D2572" s="12"/>
      <c r="E2572" s="12"/>
      <c r="F2572" s="12"/>
      <c r="G2572" s="12"/>
      <c r="H2572" s="12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</row>
    <row r="2573">
      <c r="A2573" s="11"/>
      <c r="B2573" s="12"/>
      <c r="C2573" s="12"/>
      <c r="D2573" s="12"/>
      <c r="E2573" s="12"/>
      <c r="F2573" s="12"/>
      <c r="G2573" s="12"/>
      <c r="H2573" s="12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</row>
    <row r="2574">
      <c r="A2574" s="11"/>
      <c r="B2574" s="12"/>
      <c r="C2574" s="12"/>
      <c r="D2574" s="12"/>
      <c r="E2574" s="12"/>
      <c r="F2574" s="12"/>
      <c r="G2574" s="12"/>
      <c r="H2574" s="12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</row>
    <row r="2575">
      <c r="A2575" s="11"/>
      <c r="B2575" s="12"/>
      <c r="C2575" s="12"/>
      <c r="D2575" s="12"/>
      <c r="E2575" s="12"/>
      <c r="F2575" s="12"/>
      <c r="G2575" s="12"/>
      <c r="H2575" s="12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</row>
    <row r="2576">
      <c r="A2576" s="11"/>
      <c r="B2576" s="12"/>
      <c r="C2576" s="12"/>
      <c r="D2576" s="12"/>
      <c r="E2576" s="12"/>
      <c r="F2576" s="12"/>
      <c r="G2576" s="12"/>
      <c r="H2576" s="12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</row>
    <row r="2577">
      <c r="A2577" s="11"/>
      <c r="B2577" s="12"/>
      <c r="C2577" s="12"/>
      <c r="D2577" s="12"/>
      <c r="E2577" s="12"/>
      <c r="F2577" s="12"/>
      <c r="G2577" s="12"/>
      <c r="H2577" s="12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</row>
    <row r="2578">
      <c r="A2578" s="11"/>
      <c r="B2578" s="12"/>
      <c r="C2578" s="12"/>
      <c r="D2578" s="12"/>
      <c r="E2578" s="12"/>
      <c r="F2578" s="12"/>
      <c r="G2578" s="12"/>
      <c r="H2578" s="12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</row>
    <row r="2579">
      <c r="A2579" s="11"/>
      <c r="B2579" s="12"/>
      <c r="C2579" s="12"/>
      <c r="D2579" s="12"/>
      <c r="E2579" s="12"/>
      <c r="F2579" s="12"/>
      <c r="G2579" s="12"/>
      <c r="H2579" s="12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</row>
    <row r="2580">
      <c r="A2580" s="11"/>
      <c r="B2580" s="12"/>
      <c r="C2580" s="12"/>
      <c r="D2580" s="12"/>
      <c r="E2580" s="12"/>
      <c r="F2580" s="12"/>
      <c r="G2580" s="12"/>
      <c r="H2580" s="12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</row>
    <row r="2581">
      <c r="A2581" s="11"/>
      <c r="B2581" s="12"/>
      <c r="C2581" s="12"/>
      <c r="D2581" s="12"/>
      <c r="E2581" s="12"/>
      <c r="F2581" s="12"/>
      <c r="G2581" s="12"/>
      <c r="H2581" s="12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</row>
    <row r="2582">
      <c r="A2582" s="11"/>
      <c r="B2582" s="12"/>
      <c r="C2582" s="12"/>
      <c r="D2582" s="12"/>
      <c r="E2582" s="12"/>
      <c r="F2582" s="12"/>
      <c r="G2582" s="12"/>
      <c r="H2582" s="12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</row>
    <row r="2583">
      <c r="A2583" s="11"/>
      <c r="B2583" s="12"/>
      <c r="C2583" s="12"/>
      <c r="D2583" s="12"/>
      <c r="E2583" s="12"/>
      <c r="F2583" s="12"/>
      <c r="G2583" s="12"/>
      <c r="H2583" s="12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</row>
    <row r="2584">
      <c r="A2584" s="11"/>
      <c r="B2584" s="12"/>
      <c r="C2584" s="12"/>
      <c r="D2584" s="12"/>
      <c r="E2584" s="12"/>
      <c r="F2584" s="12"/>
      <c r="G2584" s="12"/>
      <c r="H2584" s="12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</row>
    <row r="2585">
      <c r="A2585" s="11"/>
      <c r="B2585" s="12"/>
      <c r="C2585" s="12"/>
      <c r="D2585" s="12"/>
      <c r="E2585" s="12"/>
      <c r="F2585" s="12"/>
      <c r="G2585" s="12"/>
      <c r="H2585" s="12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</row>
    <row r="2586">
      <c r="A2586" s="11"/>
      <c r="B2586" s="12"/>
      <c r="C2586" s="12"/>
      <c r="D2586" s="12"/>
      <c r="E2586" s="12"/>
      <c r="F2586" s="12"/>
      <c r="G2586" s="12"/>
      <c r="H2586" s="12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</row>
    <row r="2587">
      <c r="A2587" s="11"/>
      <c r="B2587" s="12"/>
      <c r="C2587" s="12"/>
      <c r="D2587" s="12"/>
      <c r="E2587" s="12"/>
      <c r="F2587" s="12"/>
      <c r="G2587" s="12"/>
      <c r="H2587" s="12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</row>
    <row r="2588">
      <c r="A2588" s="11"/>
      <c r="B2588" s="12"/>
      <c r="C2588" s="12"/>
      <c r="D2588" s="12"/>
      <c r="E2588" s="12"/>
      <c r="F2588" s="12"/>
      <c r="G2588" s="12"/>
      <c r="H2588" s="12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</row>
    <row r="2589">
      <c r="A2589" s="11"/>
      <c r="B2589" s="12"/>
      <c r="C2589" s="12"/>
      <c r="D2589" s="12"/>
      <c r="E2589" s="12"/>
      <c r="F2589" s="12"/>
      <c r="G2589" s="12"/>
      <c r="H2589" s="12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</row>
    <row r="2590">
      <c r="A2590" s="11"/>
      <c r="B2590" s="12"/>
      <c r="C2590" s="12"/>
      <c r="D2590" s="12"/>
      <c r="E2590" s="12"/>
      <c r="F2590" s="12"/>
      <c r="G2590" s="12"/>
      <c r="H2590" s="12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</row>
    <row r="2591">
      <c r="A2591" s="11"/>
      <c r="B2591" s="12"/>
      <c r="C2591" s="12"/>
      <c r="D2591" s="12"/>
      <c r="E2591" s="12"/>
      <c r="F2591" s="12"/>
      <c r="G2591" s="12"/>
      <c r="H2591" s="12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</row>
    <row r="2592">
      <c r="A2592" s="11"/>
      <c r="B2592" s="12"/>
      <c r="C2592" s="12"/>
      <c r="D2592" s="12"/>
      <c r="E2592" s="12"/>
      <c r="F2592" s="12"/>
      <c r="G2592" s="12"/>
      <c r="H2592" s="12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</row>
    <row r="2593">
      <c r="A2593" s="11"/>
      <c r="B2593" s="12"/>
      <c r="C2593" s="12"/>
      <c r="D2593" s="12"/>
      <c r="E2593" s="12"/>
      <c r="F2593" s="12"/>
      <c r="G2593" s="12"/>
      <c r="H2593" s="12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</row>
    <row r="2594">
      <c r="A2594" s="11"/>
      <c r="B2594" s="12"/>
      <c r="C2594" s="12"/>
      <c r="D2594" s="12"/>
      <c r="E2594" s="12"/>
      <c r="F2594" s="12"/>
      <c r="G2594" s="12"/>
      <c r="H2594" s="12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</row>
    <row r="2595">
      <c r="A2595" s="11"/>
      <c r="B2595" s="12"/>
      <c r="C2595" s="12"/>
      <c r="D2595" s="12"/>
      <c r="E2595" s="12"/>
      <c r="F2595" s="12"/>
      <c r="G2595" s="12"/>
      <c r="H2595" s="12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</row>
    <row r="2596">
      <c r="A2596" s="11"/>
      <c r="B2596" s="12"/>
      <c r="C2596" s="12"/>
      <c r="D2596" s="12"/>
      <c r="E2596" s="12"/>
      <c r="F2596" s="12"/>
      <c r="G2596" s="12"/>
      <c r="H2596" s="12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</row>
    <row r="2597">
      <c r="A2597" s="11"/>
      <c r="B2597" s="12"/>
      <c r="C2597" s="12"/>
      <c r="D2597" s="12"/>
      <c r="E2597" s="12"/>
      <c r="F2597" s="12"/>
      <c r="G2597" s="12"/>
      <c r="H2597" s="12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</row>
    <row r="2598">
      <c r="A2598" s="11"/>
      <c r="B2598" s="12"/>
      <c r="C2598" s="12"/>
      <c r="D2598" s="12"/>
      <c r="E2598" s="12"/>
      <c r="F2598" s="12"/>
      <c r="G2598" s="12"/>
      <c r="H2598" s="12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</row>
    <row r="2599">
      <c r="A2599" s="11"/>
      <c r="B2599" s="12"/>
      <c r="C2599" s="12"/>
      <c r="D2599" s="12"/>
      <c r="E2599" s="12"/>
      <c r="F2599" s="12"/>
      <c r="G2599" s="12"/>
      <c r="H2599" s="12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</row>
    <row r="2600">
      <c r="A2600" s="11"/>
      <c r="B2600" s="12"/>
      <c r="C2600" s="12"/>
      <c r="D2600" s="12"/>
      <c r="E2600" s="12"/>
      <c r="F2600" s="12"/>
      <c r="G2600" s="12"/>
      <c r="H2600" s="12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</row>
    <row r="2601">
      <c r="A2601" s="11"/>
      <c r="B2601" s="12"/>
      <c r="C2601" s="12"/>
      <c r="D2601" s="12"/>
      <c r="E2601" s="12"/>
      <c r="F2601" s="12"/>
      <c r="G2601" s="12"/>
      <c r="H2601" s="12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</row>
    <row r="2602">
      <c r="A2602" s="11"/>
      <c r="B2602" s="12"/>
      <c r="C2602" s="12"/>
      <c r="D2602" s="12"/>
      <c r="E2602" s="12"/>
      <c r="F2602" s="12"/>
      <c r="G2602" s="12"/>
      <c r="H2602" s="12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</row>
    <row r="2603">
      <c r="A2603" s="11"/>
      <c r="B2603" s="12"/>
      <c r="C2603" s="12"/>
      <c r="D2603" s="12"/>
      <c r="E2603" s="12"/>
      <c r="F2603" s="12"/>
      <c r="G2603" s="12"/>
      <c r="H2603" s="12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</row>
    <row r="2604">
      <c r="A2604" s="11"/>
      <c r="B2604" s="12"/>
      <c r="C2604" s="12"/>
      <c r="D2604" s="12"/>
      <c r="E2604" s="12"/>
      <c r="F2604" s="12"/>
      <c r="G2604" s="12"/>
      <c r="H2604" s="12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</row>
    <row r="2605">
      <c r="A2605" s="11"/>
      <c r="B2605" s="12"/>
      <c r="C2605" s="12"/>
      <c r="D2605" s="12"/>
      <c r="E2605" s="12"/>
      <c r="F2605" s="12"/>
      <c r="G2605" s="12"/>
      <c r="H2605" s="12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</row>
    <row r="2606">
      <c r="A2606" s="11"/>
      <c r="B2606" s="12"/>
      <c r="C2606" s="12"/>
      <c r="D2606" s="12"/>
      <c r="E2606" s="12"/>
      <c r="F2606" s="12"/>
      <c r="G2606" s="12"/>
      <c r="H2606" s="12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</row>
    <row r="2607">
      <c r="A2607" s="11"/>
      <c r="B2607" s="12"/>
      <c r="C2607" s="12"/>
      <c r="D2607" s="12"/>
      <c r="E2607" s="12"/>
      <c r="F2607" s="12"/>
      <c r="G2607" s="12"/>
      <c r="H2607" s="12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</row>
    <row r="2608">
      <c r="A2608" s="11"/>
      <c r="B2608" s="12"/>
      <c r="C2608" s="12"/>
      <c r="D2608" s="12"/>
      <c r="E2608" s="12"/>
      <c r="F2608" s="12"/>
      <c r="G2608" s="12"/>
      <c r="H2608" s="12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</row>
    <row r="2609">
      <c r="A2609" s="11"/>
      <c r="B2609" s="12"/>
      <c r="C2609" s="12"/>
      <c r="D2609" s="12"/>
      <c r="E2609" s="12"/>
      <c r="F2609" s="12"/>
      <c r="G2609" s="12"/>
      <c r="H2609" s="12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</row>
    <row r="2610">
      <c r="A2610" s="11"/>
      <c r="B2610" s="12"/>
      <c r="C2610" s="12"/>
      <c r="D2610" s="12"/>
      <c r="E2610" s="12"/>
      <c r="F2610" s="12"/>
      <c r="G2610" s="12"/>
      <c r="H2610" s="12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</row>
    <row r="2611">
      <c r="A2611" s="11"/>
      <c r="B2611" s="12"/>
      <c r="C2611" s="12"/>
      <c r="D2611" s="12"/>
      <c r="E2611" s="12"/>
      <c r="F2611" s="12"/>
      <c r="G2611" s="12"/>
      <c r="H2611" s="12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</row>
    <row r="2612">
      <c r="A2612" s="11"/>
      <c r="B2612" s="12"/>
      <c r="C2612" s="12"/>
      <c r="D2612" s="12"/>
      <c r="E2612" s="12"/>
      <c r="F2612" s="12"/>
      <c r="G2612" s="12"/>
      <c r="H2612" s="12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</row>
    <row r="2613">
      <c r="A2613" s="11"/>
      <c r="B2613" s="12"/>
      <c r="C2613" s="12"/>
      <c r="D2613" s="12"/>
      <c r="E2613" s="12"/>
      <c r="F2613" s="12"/>
      <c r="G2613" s="12"/>
      <c r="H2613" s="12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</row>
    <row r="2614">
      <c r="A2614" s="11"/>
      <c r="B2614" s="12"/>
      <c r="C2614" s="12"/>
      <c r="D2614" s="12"/>
      <c r="E2614" s="12"/>
      <c r="F2614" s="12"/>
      <c r="G2614" s="12"/>
      <c r="H2614" s="12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</row>
    <row r="2615">
      <c r="A2615" s="11"/>
      <c r="B2615" s="12"/>
      <c r="C2615" s="12"/>
      <c r="D2615" s="12"/>
      <c r="E2615" s="12"/>
      <c r="F2615" s="12"/>
      <c r="G2615" s="12"/>
      <c r="H2615" s="12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</row>
    <row r="2616">
      <c r="A2616" s="11"/>
      <c r="B2616" s="12"/>
      <c r="C2616" s="12"/>
      <c r="D2616" s="12"/>
      <c r="E2616" s="12"/>
      <c r="F2616" s="12"/>
      <c r="G2616" s="12"/>
      <c r="H2616" s="12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</row>
    <row r="2617">
      <c r="A2617" s="11"/>
      <c r="B2617" s="12"/>
      <c r="C2617" s="12"/>
      <c r="D2617" s="12"/>
      <c r="E2617" s="12"/>
      <c r="F2617" s="12"/>
      <c r="G2617" s="12"/>
      <c r="H2617" s="12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</row>
    <row r="2618">
      <c r="A2618" s="11"/>
      <c r="B2618" s="12"/>
      <c r="C2618" s="12"/>
      <c r="D2618" s="12"/>
      <c r="E2618" s="12"/>
      <c r="F2618" s="12"/>
      <c r="G2618" s="12"/>
      <c r="H2618" s="12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</row>
    <row r="2619">
      <c r="A2619" s="11"/>
      <c r="B2619" s="12"/>
      <c r="C2619" s="12"/>
      <c r="D2619" s="12"/>
      <c r="E2619" s="12"/>
      <c r="F2619" s="12"/>
      <c r="G2619" s="12"/>
      <c r="H2619" s="12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</row>
    <row r="2620">
      <c r="A2620" s="11"/>
      <c r="B2620" s="12"/>
      <c r="C2620" s="12"/>
      <c r="D2620" s="12"/>
      <c r="E2620" s="12"/>
      <c r="F2620" s="12"/>
      <c r="G2620" s="12"/>
      <c r="H2620" s="12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</row>
    <row r="2621">
      <c r="A2621" s="11"/>
      <c r="B2621" s="12"/>
      <c r="C2621" s="12"/>
      <c r="D2621" s="12"/>
      <c r="E2621" s="12"/>
      <c r="F2621" s="12"/>
      <c r="G2621" s="12"/>
      <c r="H2621" s="12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</row>
    <row r="2622">
      <c r="A2622" s="11"/>
      <c r="B2622" s="12"/>
      <c r="C2622" s="12"/>
      <c r="D2622" s="12"/>
      <c r="E2622" s="12"/>
      <c r="F2622" s="12"/>
      <c r="G2622" s="12"/>
      <c r="H2622" s="12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</row>
    <row r="2623">
      <c r="A2623" s="11"/>
      <c r="B2623" s="12"/>
      <c r="C2623" s="12"/>
      <c r="D2623" s="12"/>
      <c r="E2623" s="12"/>
      <c r="F2623" s="12"/>
      <c r="G2623" s="12"/>
      <c r="H2623" s="12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</row>
    <row r="2624">
      <c r="A2624" s="11"/>
      <c r="B2624" s="12"/>
      <c r="C2624" s="12"/>
      <c r="D2624" s="12"/>
      <c r="E2624" s="12"/>
      <c r="F2624" s="12"/>
      <c r="G2624" s="12"/>
      <c r="H2624" s="12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</row>
    <row r="2625">
      <c r="A2625" s="11"/>
      <c r="B2625" s="12"/>
      <c r="C2625" s="12"/>
      <c r="D2625" s="12"/>
      <c r="E2625" s="12"/>
      <c r="F2625" s="12"/>
      <c r="G2625" s="12"/>
      <c r="H2625" s="12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</row>
    <row r="2626">
      <c r="A2626" s="11"/>
      <c r="B2626" s="12"/>
      <c r="C2626" s="12"/>
      <c r="D2626" s="12"/>
      <c r="E2626" s="12"/>
      <c r="F2626" s="12"/>
      <c r="G2626" s="12"/>
      <c r="H2626" s="12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</row>
    <row r="2627">
      <c r="A2627" s="11"/>
      <c r="B2627" s="12"/>
      <c r="C2627" s="12"/>
      <c r="D2627" s="12"/>
      <c r="E2627" s="12"/>
      <c r="F2627" s="12"/>
      <c r="G2627" s="12"/>
      <c r="H2627" s="12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</row>
    <row r="2628">
      <c r="A2628" s="11"/>
      <c r="B2628" s="12"/>
      <c r="C2628" s="12"/>
      <c r="D2628" s="12"/>
      <c r="E2628" s="12"/>
      <c r="F2628" s="12"/>
      <c r="G2628" s="12"/>
      <c r="H2628" s="12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</row>
    <row r="2629">
      <c r="A2629" s="11"/>
      <c r="B2629" s="12"/>
      <c r="C2629" s="12"/>
      <c r="D2629" s="12"/>
      <c r="E2629" s="12"/>
      <c r="F2629" s="12"/>
      <c r="G2629" s="12"/>
      <c r="H2629" s="12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</row>
    <row r="2630">
      <c r="A2630" s="11"/>
      <c r="B2630" s="12"/>
      <c r="C2630" s="12"/>
      <c r="D2630" s="12"/>
      <c r="E2630" s="12"/>
      <c r="F2630" s="12"/>
      <c r="G2630" s="12"/>
      <c r="H2630" s="12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</row>
    <row r="2631">
      <c r="A2631" s="11"/>
      <c r="B2631" s="12"/>
      <c r="C2631" s="12"/>
      <c r="D2631" s="12"/>
      <c r="E2631" s="12"/>
      <c r="F2631" s="12"/>
      <c r="G2631" s="12"/>
      <c r="H2631" s="12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</row>
    <row r="2632">
      <c r="A2632" s="11"/>
      <c r="B2632" s="12"/>
      <c r="C2632" s="12"/>
      <c r="D2632" s="12"/>
      <c r="E2632" s="12"/>
      <c r="F2632" s="12"/>
      <c r="G2632" s="12"/>
      <c r="H2632" s="12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</row>
    <row r="2633">
      <c r="A2633" s="11"/>
      <c r="B2633" s="12"/>
      <c r="C2633" s="12"/>
      <c r="D2633" s="12"/>
      <c r="E2633" s="12"/>
      <c r="F2633" s="12"/>
      <c r="G2633" s="12"/>
      <c r="H2633" s="12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</row>
    <row r="2634">
      <c r="A2634" s="11"/>
      <c r="B2634" s="12"/>
      <c r="C2634" s="12"/>
      <c r="D2634" s="12"/>
      <c r="E2634" s="12"/>
      <c r="F2634" s="12"/>
      <c r="G2634" s="12"/>
      <c r="H2634" s="12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</row>
    <row r="2635">
      <c r="A2635" s="11"/>
      <c r="B2635" s="12"/>
      <c r="C2635" s="12"/>
      <c r="D2635" s="12"/>
      <c r="E2635" s="12"/>
      <c r="F2635" s="12"/>
      <c r="G2635" s="12"/>
      <c r="H2635" s="12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</row>
    <row r="2636">
      <c r="A2636" s="11"/>
      <c r="B2636" s="12"/>
      <c r="C2636" s="12"/>
      <c r="D2636" s="12"/>
      <c r="E2636" s="12"/>
      <c r="F2636" s="12"/>
      <c r="G2636" s="12"/>
      <c r="H2636" s="12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</row>
    <row r="2637">
      <c r="A2637" s="11"/>
      <c r="B2637" s="12"/>
      <c r="C2637" s="12"/>
      <c r="D2637" s="12"/>
      <c r="E2637" s="12"/>
      <c r="F2637" s="12"/>
      <c r="G2637" s="12"/>
      <c r="H2637" s="12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</row>
    <row r="2638">
      <c r="A2638" s="11"/>
      <c r="B2638" s="12"/>
      <c r="C2638" s="12"/>
      <c r="D2638" s="12"/>
      <c r="E2638" s="12"/>
      <c r="F2638" s="12"/>
      <c r="G2638" s="12"/>
      <c r="H2638" s="12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</row>
    <row r="2639">
      <c r="A2639" s="11"/>
      <c r="B2639" s="12"/>
      <c r="C2639" s="12"/>
      <c r="D2639" s="12"/>
      <c r="E2639" s="12"/>
      <c r="F2639" s="12"/>
      <c r="G2639" s="12"/>
      <c r="H2639" s="12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</row>
    <row r="2640">
      <c r="A2640" s="11"/>
      <c r="B2640" s="12"/>
      <c r="C2640" s="12"/>
      <c r="D2640" s="12"/>
      <c r="E2640" s="12"/>
      <c r="F2640" s="12"/>
      <c r="G2640" s="12"/>
      <c r="H2640" s="12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</row>
    <row r="2641">
      <c r="A2641" s="11"/>
      <c r="B2641" s="12"/>
      <c r="C2641" s="12"/>
      <c r="D2641" s="12"/>
      <c r="E2641" s="12"/>
      <c r="F2641" s="12"/>
      <c r="G2641" s="12"/>
      <c r="H2641" s="12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</row>
    <row r="2642">
      <c r="A2642" s="11"/>
      <c r="B2642" s="12"/>
      <c r="C2642" s="12"/>
      <c r="D2642" s="12"/>
      <c r="E2642" s="12"/>
      <c r="F2642" s="12"/>
      <c r="G2642" s="12"/>
      <c r="H2642" s="12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</row>
    <row r="2643">
      <c r="A2643" s="11"/>
      <c r="B2643" s="12"/>
      <c r="C2643" s="12"/>
      <c r="D2643" s="12"/>
      <c r="E2643" s="12"/>
      <c r="F2643" s="12"/>
      <c r="G2643" s="12"/>
      <c r="H2643" s="12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</row>
    <row r="2644">
      <c r="A2644" s="11"/>
      <c r="B2644" s="12"/>
      <c r="C2644" s="12"/>
      <c r="D2644" s="12"/>
      <c r="E2644" s="12"/>
      <c r="F2644" s="12"/>
      <c r="G2644" s="12"/>
      <c r="H2644" s="12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</row>
    <row r="2645">
      <c r="A2645" s="11"/>
      <c r="B2645" s="12"/>
      <c r="C2645" s="12"/>
      <c r="D2645" s="12"/>
      <c r="E2645" s="12"/>
      <c r="F2645" s="12"/>
      <c r="G2645" s="12"/>
      <c r="H2645" s="12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</row>
    <row r="2646">
      <c r="A2646" s="11"/>
      <c r="B2646" s="12"/>
      <c r="C2646" s="12"/>
      <c r="D2646" s="12"/>
      <c r="E2646" s="12"/>
      <c r="F2646" s="12"/>
      <c r="G2646" s="12"/>
      <c r="H2646" s="12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</row>
    <row r="2647">
      <c r="A2647" s="11"/>
      <c r="B2647" s="12"/>
      <c r="C2647" s="12"/>
      <c r="D2647" s="12"/>
      <c r="E2647" s="12"/>
      <c r="F2647" s="12"/>
      <c r="G2647" s="12"/>
      <c r="H2647" s="12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</row>
    <row r="2648">
      <c r="A2648" s="11"/>
      <c r="B2648" s="12"/>
      <c r="C2648" s="12"/>
      <c r="D2648" s="12"/>
      <c r="E2648" s="12"/>
      <c r="F2648" s="12"/>
      <c r="G2648" s="12"/>
      <c r="H2648" s="12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</row>
    <row r="2649">
      <c r="A2649" s="11"/>
      <c r="B2649" s="12"/>
      <c r="C2649" s="12"/>
      <c r="D2649" s="12"/>
      <c r="E2649" s="12"/>
      <c r="F2649" s="12"/>
      <c r="G2649" s="12"/>
      <c r="H2649" s="12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</row>
    <row r="2650">
      <c r="A2650" s="11"/>
      <c r="B2650" s="12"/>
      <c r="C2650" s="12"/>
      <c r="D2650" s="12"/>
      <c r="E2650" s="12"/>
      <c r="F2650" s="12"/>
      <c r="G2650" s="12"/>
      <c r="H2650" s="12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</row>
    <row r="2651">
      <c r="A2651" s="11"/>
      <c r="B2651" s="12"/>
      <c r="C2651" s="12"/>
      <c r="D2651" s="12"/>
      <c r="E2651" s="12"/>
      <c r="F2651" s="12"/>
      <c r="G2651" s="12"/>
      <c r="H2651" s="12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</row>
    <row r="2652">
      <c r="A2652" s="11"/>
      <c r="B2652" s="12"/>
      <c r="C2652" s="12"/>
      <c r="D2652" s="12"/>
      <c r="E2652" s="12"/>
      <c r="F2652" s="12"/>
      <c r="G2652" s="12"/>
      <c r="H2652" s="12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</row>
    <row r="2653">
      <c r="A2653" s="11"/>
      <c r="B2653" s="12"/>
      <c r="C2653" s="12"/>
      <c r="D2653" s="12"/>
      <c r="E2653" s="12"/>
      <c r="F2653" s="12"/>
      <c r="G2653" s="12"/>
      <c r="H2653" s="12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</row>
    <row r="2654">
      <c r="A2654" s="11"/>
      <c r="B2654" s="12"/>
      <c r="C2654" s="12"/>
      <c r="D2654" s="12"/>
      <c r="E2654" s="12"/>
      <c r="F2654" s="12"/>
      <c r="G2654" s="12"/>
      <c r="H2654" s="12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</row>
    <row r="2655">
      <c r="A2655" s="11"/>
      <c r="B2655" s="12"/>
      <c r="C2655" s="12"/>
      <c r="D2655" s="12"/>
      <c r="E2655" s="12"/>
      <c r="F2655" s="12"/>
      <c r="G2655" s="12"/>
      <c r="H2655" s="12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</row>
    <row r="2656">
      <c r="A2656" s="11"/>
      <c r="B2656" s="12"/>
      <c r="C2656" s="12"/>
      <c r="D2656" s="12"/>
      <c r="E2656" s="12"/>
      <c r="F2656" s="12"/>
      <c r="G2656" s="12"/>
      <c r="H2656" s="12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</row>
    <row r="2657">
      <c r="A2657" s="11"/>
      <c r="B2657" s="12"/>
      <c r="C2657" s="12"/>
      <c r="D2657" s="12"/>
      <c r="E2657" s="12"/>
      <c r="F2657" s="12"/>
      <c r="G2657" s="12"/>
      <c r="H2657" s="12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</row>
    <row r="2658">
      <c r="A2658" s="11"/>
      <c r="B2658" s="12"/>
      <c r="C2658" s="12"/>
      <c r="D2658" s="12"/>
      <c r="E2658" s="12"/>
      <c r="F2658" s="12"/>
      <c r="G2658" s="12"/>
      <c r="H2658" s="12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</row>
    <row r="2659">
      <c r="A2659" s="11"/>
      <c r="B2659" s="12"/>
      <c r="C2659" s="12"/>
      <c r="D2659" s="12"/>
      <c r="E2659" s="12"/>
      <c r="F2659" s="12"/>
      <c r="G2659" s="12"/>
      <c r="H2659" s="12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</row>
    <row r="2660">
      <c r="A2660" s="11"/>
      <c r="B2660" s="12"/>
      <c r="C2660" s="12"/>
      <c r="D2660" s="12"/>
      <c r="E2660" s="12"/>
      <c r="F2660" s="12"/>
      <c r="G2660" s="12"/>
      <c r="H2660" s="12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</row>
    <row r="2661">
      <c r="A2661" s="11"/>
      <c r="B2661" s="12"/>
      <c r="C2661" s="12"/>
      <c r="D2661" s="12"/>
      <c r="E2661" s="12"/>
      <c r="F2661" s="12"/>
      <c r="G2661" s="12"/>
      <c r="H2661" s="12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</row>
    <row r="2662">
      <c r="A2662" s="11"/>
      <c r="B2662" s="12"/>
      <c r="C2662" s="12"/>
      <c r="D2662" s="12"/>
      <c r="E2662" s="12"/>
      <c r="F2662" s="12"/>
      <c r="G2662" s="12"/>
      <c r="H2662" s="12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</row>
    <row r="2663">
      <c r="A2663" s="11"/>
      <c r="B2663" s="12"/>
      <c r="C2663" s="12"/>
      <c r="D2663" s="12"/>
      <c r="E2663" s="12"/>
      <c r="F2663" s="12"/>
      <c r="G2663" s="12"/>
      <c r="H2663" s="12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</row>
    <row r="2664">
      <c r="A2664" s="11"/>
      <c r="B2664" s="12"/>
      <c r="C2664" s="12"/>
      <c r="D2664" s="12"/>
      <c r="E2664" s="12"/>
      <c r="F2664" s="12"/>
      <c r="G2664" s="12"/>
      <c r="H2664" s="12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</row>
    <row r="2665">
      <c r="A2665" s="11"/>
      <c r="B2665" s="12"/>
      <c r="C2665" s="12"/>
      <c r="D2665" s="12"/>
      <c r="E2665" s="12"/>
      <c r="F2665" s="12"/>
      <c r="G2665" s="12"/>
      <c r="H2665" s="12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</row>
    <row r="2666">
      <c r="A2666" s="11"/>
      <c r="B2666" s="12"/>
      <c r="C2666" s="12"/>
      <c r="D2666" s="12"/>
      <c r="E2666" s="12"/>
      <c r="F2666" s="12"/>
      <c r="G2666" s="12"/>
      <c r="H2666" s="12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</row>
    <row r="2667">
      <c r="A2667" s="11"/>
      <c r="B2667" s="12"/>
      <c r="C2667" s="12"/>
      <c r="D2667" s="12"/>
      <c r="E2667" s="12"/>
      <c r="F2667" s="12"/>
      <c r="G2667" s="12"/>
      <c r="H2667" s="12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</row>
    <row r="2668">
      <c r="A2668" s="11"/>
      <c r="B2668" s="12"/>
      <c r="C2668" s="12"/>
      <c r="D2668" s="12"/>
      <c r="E2668" s="12"/>
      <c r="F2668" s="12"/>
      <c r="G2668" s="12"/>
      <c r="H2668" s="12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</row>
    <row r="2669">
      <c r="A2669" s="11"/>
      <c r="B2669" s="12"/>
      <c r="C2669" s="12"/>
      <c r="D2669" s="12"/>
      <c r="E2669" s="12"/>
      <c r="F2669" s="12"/>
      <c r="G2669" s="12"/>
      <c r="H2669" s="12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</row>
    <row r="2670">
      <c r="A2670" s="11"/>
      <c r="B2670" s="12"/>
      <c r="C2670" s="12"/>
      <c r="D2670" s="12"/>
      <c r="E2670" s="12"/>
      <c r="F2670" s="12"/>
      <c r="G2670" s="12"/>
      <c r="H2670" s="12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</row>
    <row r="2671">
      <c r="A2671" s="11"/>
      <c r="B2671" s="12"/>
      <c r="C2671" s="12"/>
      <c r="D2671" s="12"/>
      <c r="E2671" s="12"/>
      <c r="F2671" s="12"/>
      <c r="G2671" s="12"/>
      <c r="H2671" s="12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</row>
    <row r="2672">
      <c r="A2672" s="11"/>
      <c r="B2672" s="12"/>
      <c r="C2672" s="12"/>
      <c r="D2672" s="12"/>
      <c r="E2672" s="12"/>
      <c r="F2672" s="12"/>
      <c r="G2672" s="12"/>
      <c r="H2672" s="12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</row>
    <row r="2673">
      <c r="A2673" s="11"/>
      <c r="B2673" s="12"/>
      <c r="C2673" s="12"/>
      <c r="D2673" s="12"/>
      <c r="E2673" s="12"/>
      <c r="F2673" s="12"/>
      <c r="G2673" s="12"/>
      <c r="H2673" s="12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</row>
    <row r="2674">
      <c r="A2674" s="11"/>
      <c r="B2674" s="12"/>
      <c r="C2674" s="12"/>
      <c r="D2674" s="12"/>
      <c r="E2674" s="12"/>
      <c r="F2674" s="12"/>
      <c r="G2674" s="12"/>
      <c r="H2674" s="12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</row>
    <row r="2675">
      <c r="A2675" s="11"/>
      <c r="B2675" s="12"/>
      <c r="C2675" s="12"/>
      <c r="D2675" s="12"/>
      <c r="E2675" s="12"/>
      <c r="F2675" s="12"/>
      <c r="G2675" s="12"/>
      <c r="H2675" s="12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</row>
    <row r="2676">
      <c r="A2676" s="11"/>
      <c r="B2676" s="12"/>
      <c r="C2676" s="12"/>
      <c r="D2676" s="12"/>
      <c r="E2676" s="12"/>
      <c r="F2676" s="12"/>
      <c r="G2676" s="12"/>
      <c r="H2676" s="12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</row>
    <row r="2677">
      <c r="A2677" s="11"/>
      <c r="B2677" s="12"/>
      <c r="C2677" s="12"/>
      <c r="D2677" s="12"/>
      <c r="E2677" s="12"/>
      <c r="F2677" s="12"/>
      <c r="G2677" s="12"/>
      <c r="H2677" s="12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</row>
    <row r="2678">
      <c r="A2678" s="11"/>
      <c r="B2678" s="12"/>
      <c r="C2678" s="12"/>
      <c r="D2678" s="12"/>
      <c r="E2678" s="12"/>
      <c r="F2678" s="12"/>
      <c r="G2678" s="12"/>
      <c r="H2678" s="12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</row>
    <row r="2679">
      <c r="A2679" s="11"/>
      <c r="B2679" s="12"/>
      <c r="C2679" s="12"/>
      <c r="D2679" s="12"/>
      <c r="E2679" s="12"/>
      <c r="F2679" s="12"/>
      <c r="G2679" s="12"/>
      <c r="H2679" s="12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</row>
    <row r="2680">
      <c r="A2680" s="11"/>
      <c r="B2680" s="12"/>
      <c r="C2680" s="12"/>
      <c r="D2680" s="12"/>
      <c r="E2680" s="12"/>
      <c r="F2680" s="12"/>
      <c r="G2680" s="12"/>
      <c r="H2680" s="12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</row>
    <row r="2681">
      <c r="A2681" s="11"/>
      <c r="B2681" s="12"/>
      <c r="C2681" s="12"/>
      <c r="D2681" s="12"/>
      <c r="E2681" s="12"/>
      <c r="F2681" s="12"/>
      <c r="G2681" s="12"/>
      <c r="H2681" s="12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</row>
    <row r="2682">
      <c r="A2682" s="11"/>
      <c r="B2682" s="12"/>
      <c r="C2682" s="12"/>
      <c r="D2682" s="12"/>
      <c r="E2682" s="12"/>
      <c r="F2682" s="12"/>
      <c r="G2682" s="12"/>
      <c r="H2682" s="12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</row>
    <row r="2683">
      <c r="A2683" s="11"/>
      <c r="B2683" s="12"/>
      <c r="C2683" s="12"/>
      <c r="D2683" s="12"/>
      <c r="E2683" s="12"/>
      <c r="F2683" s="12"/>
      <c r="G2683" s="12"/>
      <c r="H2683" s="12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</row>
    <row r="2684">
      <c r="A2684" s="11"/>
      <c r="B2684" s="12"/>
      <c r="C2684" s="12"/>
      <c r="D2684" s="12"/>
      <c r="E2684" s="12"/>
      <c r="F2684" s="12"/>
      <c r="G2684" s="12"/>
      <c r="H2684" s="12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</row>
    <row r="2685">
      <c r="A2685" s="11"/>
      <c r="B2685" s="12"/>
      <c r="C2685" s="12"/>
      <c r="D2685" s="12"/>
      <c r="E2685" s="12"/>
      <c r="F2685" s="12"/>
      <c r="G2685" s="12"/>
      <c r="H2685" s="12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</row>
    <row r="2686">
      <c r="A2686" s="11"/>
      <c r="B2686" s="12"/>
      <c r="C2686" s="12"/>
      <c r="D2686" s="12"/>
      <c r="E2686" s="12"/>
      <c r="F2686" s="12"/>
      <c r="G2686" s="12"/>
      <c r="H2686" s="12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</row>
    <row r="2687">
      <c r="A2687" s="11"/>
      <c r="B2687" s="12"/>
      <c r="C2687" s="12"/>
      <c r="D2687" s="12"/>
      <c r="E2687" s="12"/>
      <c r="F2687" s="12"/>
      <c r="G2687" s="12"/>
      <c r="H2687" s="12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</row>
    <row r="2688">
      <c r="A2688" s="11"/>
      <c r="B2688" s="12"/>
      <c r="C2688" s="12"/>
      <c r="D2688" s="12"/>
      <c r="E2688" s="12"/>
      <c r="F2688" s="12"/>
      <c r="G2688" s="12"/>
      <c r="H2688" s="12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</row>
    <row r="2689">
      <c r="A2689" s="11"/>
      <c r="B2689" s="12"/>
      <c r="C2689" s="12"/>
      <c r="D2689" s="12"/>
      <c r="E2689" s="12"/>
      <c r="F2689" s="12"/>
      <c r="G2689" s="12"/>
      <c r="H2689" s="12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</row>
    <row r="2690">
      <c r="A2690" s="11"/>
      <c r="B2690" s="12"/>
      <c r="C2690" s="12"/>
      <c r="D2690" s="12"/>
      <c r="E2690" s="12"/>
      <c r="F2690" s="12"/>
      <c r="G2690" s="12"/>
      <c r="H2690" s="12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</row>
    <row r="2691">
      <c r="A2691" s="11"/>
      <c r="B2691" s="12"/>
      <c r="C2691" s="12"/>
      <c r="D2691" s="12"/>
      <c r="E2691" s="12"/>
      <c r="F2691" s="12"/>
      <c r="G2691" s="12"/>
      <c r="H2691" s="12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</row>
    <row r="2692">
      <c r="A2692" s="11"/>
      <c r="B2692" s="12"/>
      <c r="C2692" s="12"/>
      <c r="D2692" s="12"/>
      <c r="E2692" s="12"/>
      <c r="F2692" s="12"/>
      <c r="G2692" s="12"/>
      <c r="H2692" s="12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</row>
    <row r="2693">
      <c r="A2693" s="11"/>
      <c r="B2693" s="12"/>
      <c r="C2693" s="12"/>
      <c r="D2693" s="12"/>
      <c r="E2693" s="12"/>
      <c r="F2693" s="12"/>
      <c r="G2693" s="12"/>
      <c r="H2693" s="12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</row>
    <row r="2694">
      <c r="A2694" s="11"/>
      <c r="B2694" s="12"/>
      <c r="C2694" s="12"/>
      <c r="D2694" s="12"/>
      <c r="E2694" s="12"/>
      <c r="F2694" s="12"/>
      <c r="G2694" s="12"/>
      <c r="H2694" s="12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</row>
    <row r="2695">
      <c r="A2695" s="11"/>
      <c r="B2695" s="12"/>
      <c r="C2695" s="12"/>
      <c r="D2695" s="12"/>
      <c r="E2695" s="12"/>
      <c r="F2695" s="12"/>
      <c r="G2695" s="12"/>
      <c r="H2695" s="12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</row>
    <row r="2696">
      <c r="A2696" s="11"/>
      <c r="B2696" s="12"/>
      <c r="C2696" s="12"/>
      <c r="D2696" s="12"/>
      <c r="E2696" s="12"/>
      <c r="F2696" s="12"/>
      <c r="G2696" s="12"/>
      <c r="H2696" s="12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</row>
    <row r="2697">
      <c r="A2697" s="11"/>
      <c r="B2697" s="12"/>
      <c r="C2697" s="12"/>
      <c r="D2697" s="12"/>
      <c r="E2697" s="12"/>
      <c r="F2697" s="12"/>
      <c r="G2697" s="12"/>
      <c r="H2697" s="12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</row>
    <row r="2698">
      <c r="A2698" s="11"/>
      <c r="B2698" s="12"/>
      <c r="C2698" s="12"/>
      <c r="D2698" s="12"/>
      <c r="E2698" s="12"/>
      <c r="F2698" s="12"/>
      <c r="G2698" s="12"/>
      <c r="H2698" s="12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</row>
    <row r="2699">
      <c r="A2699" s="11"/>
      <c r="B2699" s="12"/>
      <c r="C2699" s="12"/>
      <c r="D2699" s="12"/>
      <c r="E2699" s="12"/>
      <c r="F2699" s="12"/>
      <c r="G2699" s="12"/>
      <c r="H2699" s="12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</row>
    <row r="2700">
      <c r="A2700" s="11"/>
      <c r="B2700" s="12"/>
      <c r="C2700" s="12"/>
      <c r="D2700" s="12"/>
      <c r="E2700" s="12"/>
      <c r="F2700" s="12"/>
      <c r="G2700" s="12"/>
      <c r="H2700" s="12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</row>
    <row r="2701">
      <c r="A2701" s="11"/>
      <c r="B2701" s="12"/>
      <c r="C2701" s="12"/>
      <c r="D2701" s="12"/>
      <c r="E2701" s="12"/>
      <c r="F2701" s="12"/>
      <c r="G2701" s="12"/>
      <c r="H2701" s="12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</row>
    <row r="2702">
      <c r="A2702" s="11"/>
      <c r="B2702" s="12"/>
      <c r="C2702" s="12"/>
      <c r="D2702" s="12"/>
      <c r="E2702" s="12"/>
      <c r="F2702" s="12"/>
      <c r="G2702" s="12"/>
      <c r="H2702" s="12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</row>
    <row r="2703">
      <c r="A2703" s="11"/>
      <c r="B2703" s="12"/>
      <c r="C2703" s="12"/>
      <c r="D2703" s="12"/>
      <c r="E2703" s="12"/>
      <c r="F2703" s="12"/>
      <c r="G2703" s="12"/>
      <c r="H2703" s="12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</row>
    <row r="2704">
      <c r="A2704" s="11"/>
      <c r="B2704" s="12"/>
      <c r="C2704" s="12"/>
      <c r="D2704" s="12"/>
      <c r="E2704" s="12"/>
      <c r="F2704" s="12"/>
      <c r="G2704" s="12"/>
      <c r="H2704" s="12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</row>
    <row r="2705">
      <c r="A2705" s="11"/>
      <c r="B2705" s="12"/>
      <c r="C2705" s="12"/>
      <c r="D2705" s="12"/>
      <c r="E2705" s="12"/>
      <c r="F2705" s="12"/>
      <c r="G2705" s="12"/>
      <c r="H2705" s="12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</row>
    <row r="2706">
      <c r="A2706" s="11"/>
      <c r="B2706" s="12"/>
      <c r="C2706" s="12"/>
      <c r="D2706" s="12"/>
      <c r="E2706" s="12"/>
      <c r="F2706" s="12"/>
      <c r="G2706" s="12"/>
      <c r="H2706" s="12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</row>
    <row r="2707">
      <c r="A2707" s="11"/>
      <c r="B2707" s="12"/>
      <c r="C2707" s="12"/>
      <c r="D2707" s="12"/>
      <c r="E2707" s="12"/>
      <c r="F2707" s="12"/>
      <c r="G2707" s="12"/>
      <c r="H2707" s="12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</row>
    <row r="2708">
      <c r="A2708" s="11"/>
      <c r="B2708" s="12"/>
      <c r="C2708" s="12"/>
      <c r="D2708" s="12"/>
      <c r="E2708" s="12"/>
      <c r="F2708" s="12"/>
      <c r="G2708" s="12"/>
      <c r="H2708" s="12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</row>
    <row r="2709">
      <c r="A2709" s="11"/>
      <c r="B2709" s="12"/>
      <c r="C2709" s="12"/>
      <c r="D2709" s="12"/>
      <c r="E2709" s="12"/>
      <c r="F2709" s="12"/>
      <c r="G2709" s="12"/>
      <c r="H2709" s="12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</row>
    <row r="2710">
      <c r="A2710" s="11"/>
      <c r="B2710" s="12"/>
      <c r="C2710" s="12"/>
      <c r="D2710" s="12"/>
      <c r="E2710" s="12"/>
      <c r="F2710" s="12"/>
      <c r="G2710" s="12"/>
      <c r="H2710" s="12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</row>
    <row r="2711">
      <c r="A2711" s="11"/>
      <c r="B2711" s="12"/>
      <c r="C2711" s="12"/>
      <c r="D2711" s="12"/>
      <c r="E2711" s="12"/>
      <c r="F2711" s="12"/>
      <c r="G2711" s="12"/>
      <c r="H2711" s="12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</row>
    <row r="2712">
      <c r="A2712" s="11"/>
      <c r="B2712" s="12"/>
      <c r="C2712" s="12"/>
      <c r="D2712" s="12"/>
      <c r="E2712" s="12"/>
      <c r="F2712" s="12"/>
      <c r="G2712" s="12"/>
      <c r="H2712" s="12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</row>
    <row r="2713">
      <c r="A2713" s="11"/>
      <c r="B2713" s="12"/>
      <c r="C2713" s="12"/>
      <c r="D2713" s="12"/>
      <c r="E2713" s="12"/>
      <c r="F2713" s="12"/>
      <c r="G2713" s="12"/>
      <c r="H2713" s="12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</row>
    <row r="2714">
      <c r="A2714" s="11"/>
      <c r="B2714" s="12"/>
      <c r="C2714" s="12"/>
      <c r="D2714" s="12"/>
      <c r="E2714" s="12"/>
      <c r="F2714" s="12"/>
      <c r="G2714" s="12"/>
      <c r="H2714" s="12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</row>
    <row r="2715">
      <c r="A2715" s="11"/>
      <c r="B2715" s="12"/>
      <c r="C2715" s="12"/>
      <c r="D2715" s="12"/>
      <c r="E2715" s="12"/>
      <c r="F2715" s="12"/>
      <c r="G2715" s="12"/>
      <c r="H2715" s="12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</row>
    <row r="2716">
      <c r="A2716" s="11"/>
      <c r="B2716" s="12"/>
      <c r="C2716" s="12"/>
      <c r="D2716" s="12"/>
      <c r="E2716" s="12"/>
      <c r="F2716" s="12"/>
      <c r="G2716" s="12"/>
      <c r="H2716" s="12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</row>
    <row r="2717">
      <c r="A2717" s="11"/>
      <c r="B2717" s="12"/>
      <c r="C2717" s="12"/>
      <c r="D2717" s="12"/>
      <c r="E2717" s="12"/>
      <c r="F2717" s="12"/>
      <c r="G2717" s="12"/>
      <c r="H2717" s="12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</row>
    <row r="2718">
      <c r="A2718" s="11"/>
      <c r="B2718" s="12"/>
      <c r="C2718" s="12"/>
      <c r="D2718" s="12"/>
      <c r="E2718" s="12"/>
      <c r="F2718" s="12"/>
      <c r="G2718" s="12"/>
      <c r="H2718" s="12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</row>
    <row r="2719">
      <c r="A2719" s="11"/>
      <c r="B2719" s="12"/>
      <c r="C2719" s="12"/>
      <c r="D2719" s="12"/>
      <c r="E2719" s="12"/>
      <c r="F2719" s="12"/>
      <c r="G2719" s="12"/>
      <c r="H2719" s="12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</row>
    <row r="2720">
      <c r="A2720" s="11"/>
      <c r="B2720" s="12"/>
      <c r="C2720" s="12"/>
      <c r="D2720" s="12"/>
      <c r="E2720" s="12"/>
      <c r="F2720" s="12"/>
      <c r="G2720" s="12"/>
      <c r="H2720" s="12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</row>
    <row r="2721">
      <c r="A2721" s="11"/>
      <c r="B2721" s="12"/>
      <c r="C2721" s="12"/>
      <c r="D2721" s="12"/>
      <c r="E2721" s="12"/>
      <c r="F2721" s="12"/>
      <c r="G2721" s="12"/>
      <c r="H2721" s="12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</row>
    <row r="2722">
      <c r="A2722" s="11"/>
      <c r="B2722" s="12"/>
      <c r="C2722" s="12"/>
      <c r="D2722" s="12"/>
      <c r="E2722" s="12"/>
      <c r="F2722" s="12"/>
      <c r="G2722" s="12"/>
      <c r="H2722" s="12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</row>
    <row r="2723">
      <c r="A2723" s="11"/>
      <c r="B2723" s="12"/>
      <c r="C2723" s="12"/>
      <c r="D2723" s="12"/>
      <c r="E2723" s="12"/>
      <c r="F2723" s="12"/>
      <c r="G2723" s="12"/>
      <c r="H2723" s="12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</row>
    <row r="2724">
      <c r="A2724" s="11"/>
      <c r="B2724" s="12"/>
      <c r="C2724" s="12"/>
      <c r="D2724" s="12"/>
      <c r="E2724" s="12"/>
      <c r="F2724" s="12"/>
      <c r="G2724" s="12"/>
      <c r="H2724" s="12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</row>
    <row r="2725">
      <c r="A2725" s="11"/>
      <c r="B2725" s="12"/>
      <c r="C2725" s="12"/>
      <c r="D2725" s="12"/>
      <c r="E2725" s="12"/>
      <c r="F2725" s="12"/>
      <c r="G2725" s="12"/>
      <c r="H2725" s="12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</row>
    <row r="2726">
      <c r="A2726" s="11"/>
      <c r="B2726" s="12"/>
      <c r="C2726" s="12"/>
      <c r="D2726" s="12"/>
      <c r="E2726" s="12"/>
      <c r="F2726" s="12"/>
      <c r="G2726" s="12"/>
      <c r="H2726" s="12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</row>
    <row r="2727">
      <c r="A2727" s="11"/>
      <c r="B2727" s="12"/>
      <c r="C2727" s="12"/>
      <c r="D2727" s="12"/>
      <c r="E2727" s="12"/>
      <c r="F2727" s="12"/>
      <c r="G2727" s="12"/>
      <c r="H2727" s="12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</row>
    <row r="2728">
      <c r="A2728" s="11"/>
      <c r="B2728" s="12"/>
      <c r="C2728" s="12"/>
      <c r="D2728" s="12"/>
      <c r="E2728" s="12"/>
      <c r="F2728" s="12"/>
      <c r="G2728" s="12"/>
      <c r="H2728" s="12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</row>
    <row r="2729">
      <c r="A2729" s="11"/>
      <c r="B2729" s="12"/>
      <c r="C2729" s="12"/>
      <c r="D2729" s="12"/>
      <c r="E2729" s="12"/>
      <c r="F2729" s="12"/>
      <c r="G2729" s="12"/>
      <c r="H2729" s="12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</row>
    <row r="2730">
      <c r="A2730" s="11"/>
      <c r="B2730" s="12"/>
      <c r="C2730" s="12"/>
      <c r="D2730" s="12"/>
      <c r="E2730" s="12"/>
      <c r="F2730" s="12"/>
      <c r="G2730" s="12"/>
      <c r="H2730" s="12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</row>
    <row r="2731">
      <c r="A2731" s="11"/>
      <c r="B2731" s="12"/>
      <c r="C2731" s="12"/>
      <c r="D2731" s="12"/>
      <c r="E2731" s="12"/>
      <c r="F2731" s="12"/>
      <c r="G2731" s="12"/>
      <c r="H2731" s="12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</row>
    <row r="2732">
      <c r="A2732" s="11"/>
      <c r="B2732" s="12"/>
      <c r="C2732" s="12"/>
      <c r="D2732" s="12"/>
      <c r="E2732" s="12"/>
      <c r="F2732" s="12"/>
      <c r="G2732" s="12"/>
      <c r="H2732" s="12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</row>
    <row r="2733">
      <c r="A2733" s="11"/>
      <c r="B2733" s="12"/>
      <c r="C2733" s="12"/>
      <c r="D2733" s="12"/>
      <c r="E2733" s="12"/>
      <c r="F2733" s="12"/>
      <c r="G2733" s="12"/>
      <c r="H2733" s="12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</row>
    <row r="2734">
      <c r="A2734" s="11"/>
      <c r="B2734" s="12"/>
      <c r="C2734" s="12"/>
      <c r="D2734" s="12"/>
      <c r="E2734" s="12"/>
      <c r="F2734" s="12"/>
      <c r="G2734" s="12"/>
      <c r="H2734" s="12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</row>
    <row r="2735">
      <c r="A2735" s="11"/>
      <c r="B2735" s="12"/>
      <c r="C2735" s="12"/>
      <c r="D2735" s="12"/>
      <c r="E2735" s="12"/>
      <c r="F2735" s="12"/>
      <c r="G2735" s="12"/>
      <c r="H2735" s="12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</row>
    <row r="2736">
      <c r="A2736" s="11"/>
      <c r="B2736" s="12"/>
      <c r="C2736" s="12"/>
      <c r="D2736" s="12"/>
      <c r="E2736" s="12"/>
      <c r="F2736" s="12"/>
      <c r="G2736" s="12"/>
      <c r="H2736" s="12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</row>
    <row r="2737">
      <c r="A2737" s="11"/>
      <c r="B2737" s="12"/>
      <c r="C2737" s="12"/>
      <c r="D2737" s="12"/>
      <c r="E2737" s="12"/>
      <c r="F2737" s="12"/>
      <c r="G2737" s="12"/>
      <c r="H2737" s="12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</row>
    <row r="2738">
      <c r="A2738" s="11"/>
      <c r="B2738" s="12"/>
      <c r="C2738" s="12"/>
      <c r="D2738" s="12"/>
      <c r="E2738" s="12"/>
      <c r="F2738" s="12"/>
      <c r="G2738" s="12"/>
      <c r="H2738" s="12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</row>
    <row r="2739">
      <c r="A2739" s="11"/>
      <c r="B2739" s="12"/>
      <c r="C2739" s="12"/>
      <c r="D2739" s="12"/>
      <c r="E2739" s="12"/>
      <c r="F2739" s="12"/>
      <c r="G2739" s="12"/>
      <c r="H2739" s="12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</row>
    <row r="2740">
      <c r="A2740" s="11"/>
      <c r="B2740" s="12"/>
      <c r="C2740" s="12"/>
      <c r="D2740" s="12"/>
      <c r="E2740" s="12"/>
      <c r="F2740" s="12"/>
      <c r="G2740" s="12"/>
      <c r="H2740" s="12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</row>
    <row r="2741">
      <c r="A2741" s="11"/>
      <c r="B2741" s="12"/>
      <c r="C2741" s="12"/>
      <c r="D2741" s="12"/>
      <c r="E2741" s="12"/>
      <c r="F2741" s="12"/>
      <c r="G2741" s="12"/>
      <c r="H2741" s="12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</row>
    <row r="2742">
      <c r="A2742" s="11"/>
      <c r="B2742" s="12"/>
      <c r="C2742" s="12"/>
      <c r="D2742" s="12"/>
      <c r="E2742" s="12"/>
      <c r="F2742" s="12"/>
      <c r="G2742" s="12"/>
      <c r="H2742" s="12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</row>
    <row r="2743">
      <c r="A2743" s="11"/>
      <c r="B2743" s="12"/>
      <c r="C2743" s="12"/>
      <c r="D2743" s="12"/>
      <c r="E2743" s="12"/>
      <c r="F2743" s="12"/>
      <c r="G2743" s="12"/>
      <c r="H2743" s="12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</row>
    <row r="2744">
      <c r="A2744" s="11"/>
      <c r="B2744" s="12"/>
      <c r="C2744" s="12"/>
      <c r="D2744" s="12"/>
      <c r="E2744" s="12"/>
      <c r="F2744" s="12"/>
      <c r="G2744" s="12"/>
      <c r="H2744" s="12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</row>
    <row r="2745">
      <c r="A2745" s="11"/>
      <c r="B2745" s="12"/>
      <c r="C2745" s="12"/>
      <c r="D2745" s="12"/>
      <c r="E2745" s="12"/>
      <c r="F2745" s="12"/>
      <c r="G2745" s="12"/>
      <c r="H2745" s="12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</row>
    <row r="2746">
      <c r="A2746" s="11"/>
      <c r="B2746" s="12"/>
      <c r="C2746" s="12"/>
      <c r="D2746" s="12"/>
      <c r="E2746" s="12"/>
      <c r="F2746" s="12"/>
      <c r="G2746" s="12"/>
      <c r="H2746" s="12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</row>
    <row r="2747">
      <c r="A2747" s="11"/>
      <c r="B2747" s="12"/>
      <c r="C2747" s="12"/>
      <c r="D2747" s="12"/>
      <c r="E2747" s="12"/>
      <c r="F2747" s="12"/>
      <c r="G2747" s="12"/>
      <c r="H2747" s="12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</row>
    <row r="2748">
      <c r="A2748" s="11"/>
      <c r="B2748" s="12"/>
      <c r="C2748" s="12"/>
      <c r="D2748" s="12"/>
      <c r="E2748" s="12"/>
      <c r="F2748" s="12"/>
      <c r="G2748" s="12"/>
      <c r="H2748" s="12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</row>
    <row r="2749">
      <c r="A2749" s="11"/>
      <c r="B2749" s="12"/>
      <c r="C2749" s="12"/>
      <c r="D2749" s="12"/>
      <c r="E2749" s="12"/>
      <c r="F2749" s="12"/>
      <c r="G2749" s="12"/>
      <c r="H2749" s="12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</row>
    <row r="2750">
      <c r="A2750" s="11"/>
      <c r="B2750" s="12"/>
      <c r="C2750" s="12"/>
      <c r="D2750" s="12"/>
      <c r="E2750" s="12"/>
      <c r="F2750" s="12"/>
      <c r="G2750" s="12"/>
      <c r="H2750" s="12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</row>
    <row r="2751">
      <c r="A2751" s="11"/>
      <c r="B2751" s="12"/>
      <c r="C2751" s="12"/>
      <c r="D2751" s="12"/>
      <c r="E2751" s="12"/>
      <c r="F2751" s="12"/>
      <c r="G2751" s="12"/>
      <c r="H2751" s="12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</row>
    <row r="2752">
      <c r="A2752" s="11"/>
      <c r="B2752" s="12"/>
      <c r="C2752" s="12"/>
      <c r="D2752" s="12"/>
      <c r="E2752" s="12"/>
      <c r="F2752" s="12"/>
      <c r="G2752" s="12"/>
      <c r="H2752" s="12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</row>
    <row r="2753">
      <c r="A2753" s="11"/>
      <c r="B2753" s="12"/>
      <c r="C2753" s="12"/>
      <c r="D2753" s="12"/>
      <c r="E2753" s="12"/>
      <c r="F2753" s="12"/>
      <c r="G2753" s="12"/>
      <c r="H2753" s="12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</row>
    <row r="2754">
      <c r="A2754" s="11"/>
      <c r="B2754" s="12"/>
      <c r="C2754" s="12"/>
      <c r="D2754" s="12"/>
      <c r="E2754" s="12"/>
      <c r="F2754" s="12"/>
      <c r="G2754" s="12"/>
      <c r="H2754" s="12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</row>
    <row r="2755">
      <c r="A2755" s="11"/>
      <c r="B2755" s="12"/>
      <c r="C2755" s="12"/>
      <c r="D2755" s="12"/>
      <c r="E2755" s="12"/>
      <c r="F2755" s="12"/>
      <c r="G2755" s="12"/>
      <c r="H2755" s="12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</row>
    <row r="2756">
      <c r="A2756" s="11"/>
      <c r="B2756" s="12"/>
      <c r="C2756" s="12"/>
      <c r="D2756" s="12"/>
      <c r="E2756" s="12"/>
      <c r="F2756" s="12"/>
      <c r="G2756" s="12"/>
      <c r="H2756" s="12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</row>
    <row r="2757">
      <c r="A2757" s="11"/>
      <c r="B2757" s="12"/>
      <c r="C2757" s="12"/>
      <c r="D2757" s="12"/>
      <c r="E2757" s="12"/>
      <c r="F2757" s="12"/>
      <c r="G2757" s="12"/>
      <c r="H2757" s="12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</row>
    <row r="2758">
      <c r="A2758" s="11"/>
      <c r="B2758" s="12"/>
      <c r="C2758" s="12"/>
      <c r="D2758" s="12"/>
      <c r="E2758" s="12"/>
      <c r="F2758" s="12"/>
      <c r="G2758" s="12"/>
      <c r="H2758" s="12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</row>
    <row r="2759">
      <c r="A2759" s="11"/>
      <c r="B2759" s="12"/>
      <c r="C2759" s="12"/>
      <c r="D2759" s="12"/>
      <c r="E2759" s="12"/>
      <c r="F2759" s="12"/>
      <c r="G2759" s="12"/>
      <c r="H2759" s="12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</row>
    <row r="2760">
      <c r="A2760" s="11"/>
      <c r="B2760" s="12"/>
      <c r="C2760" s="12"/>
      <c r="D2760" s="12"/>
      <c r="E2760" s="12"/>
      <c r="F2760" s="12"/>
      <c r="G2760" s="12"/>
      <c r="H2760" s="12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</row>
    <row r="2761">
      <c r="A2761" s="11"/>
      <c r="B2761" s="12"/>
      <c r="C2761" s="12"/>
      <c r="D2761" s="12"/>
      <c r="E2761" s="12"/>
      <c r="F2761" s="12"/>
      <c r="G2761" s="12"/>
      <c r="H2761" s="12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</row>
    <row r="2762">
      <c r="A2762" s="11"/>
      <c r="B2762" s="12"/>
      <c r="C2762" s="12"/>
      <c r="D2762" s="12"/>
      <c r="E2762" s="12"/>
      <c r="F2762" s="12"/>
      <c r="G2762" s="12"/>
      <c r="H2762" s="12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</row>
    <row r="2763">
      <c r="A2763" s="11"/>
      <c r="B2763" s="12"/>
      <c r="C2763" s="12"/>
      <c r="D2763" s="12"/>
      <c r="E2763" s="12"/>
      <c r="F2763" s="12"/>
      <c r="G2763" s="12"/>
      <c r="H2763" s="12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</row>
    <row r="2764">
      <c r="A2764" s="11"/>
      <c r="B2764" s="12"/>
      <c r="C2764" s="12"/>
      <c r="D2764" s="12"/>
      <c r="E2764" s="12"/>
      <c r="F2764" s="12"/>
      <c r="G2764" s="12"/>
      <c r="H2764" s="12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</row>
    <row r="2765">
      <c r="A2765" s="11"/>
      <c r="B2765" s="12"/>
      <c r="C2765" s="12"/>
      <c r="D2765" s="12"/>
      <c r="E2765" s="12"/>
      <c r="F2765" s="12"/>
      <c r="G2765" s="12"/>
      <c r="H2765" s="12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</row>
    <row r="2766">
      <c r="A2766" s="11"/>
      <c r="B2766" s="12"/>
      <c r="C2766" s="12"/>
      <c r="D2766" s="12"/>
      <c r="E2766" s="12"/>
      <c r="F2766" s="12"/>
      <c r="G2766" s="12"/>
      <c r="H2766" s="12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</row>
    <row r="2767">
      <c r="A2767" s="11"/>
      <c r="B2767" s="12"/>
      <c r="C2767" s="12"/>
      <c r="D2767" s="12"/>
      <c r="E2767" s="12"/>
      <c r="F2767" s="12"/>
      <c r="G2767" s="12"/>
      <c r="H2767" s="12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</row>
    <row r="2768">
      <c r="A2768" s="11"/>
      <c r="B2768" s="12"/>
      <c r="C2768" s="12"/>
      <c r="D2768" s="12"/>
      <c r="E2768" s="12"/>
      <c r="F2768" s="12"/>
      <c r="G2768" s="12"/>
      <c r="H2768" s="12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</row>
    <row r="2769">
      <c r="A2769" s="11"/>
      <c r="B2769" s="12"/>
      <c r="C2769" s="12"/>
      <c r="D2769" s="12"/>
      <c r="E2769" s="12"/>
      <c r="F2769" s="12"/>
      <c r="G2769" s="12"/>
      <c r="H2769" s="12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</row>
    <row r="2770">
      <c r="A2770" s="11"/>
      <c r="B2770" s="12"/>
      <c r="C2770" s="12"/>
      <c r="D2770" s="12"/>
      <c r="E2770" s="12"/>
      <c r="F2770" s="12"/>
      <c r="G2770" s="12"/>
      <c r="H2770" s="12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</row>
    <row r="2771">
      <c r="A2771" s="11"/>
      <c r="B2771" s="12"/>
      <c r="C2771" s="12"/>
      <c r="D2771" s="12"/>
      <c r="E2771" s="12"/>
      <c r="F2771" s="12"/>
      <c r="G2771" s="12"/>
      <c r="H2771" s="12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</row>
    <row r="2772">
      <c r="A2772" s="11"/>
      <c r="B2772" s="12"/>
      <c r="C2772" s="12"/>
      <c r="D2772" s="12"/>
      <c r="E2772" s="12"/>
      <c r="F2772" s="12"/>
      <c r="G2772" s="12"/>
      <c r="H2772" s="12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</row>
    <row r="2773">
      <c r="A2773" s="11"/>
      <c r="B2773" s="12"/>
      <c r="C2773" s="12"/>
      <c r="D2773" s="12"/>
      <c r="E2773" s="12"/>
      <c r="F2773" s="12"/>
      <c r="G2773" s="12"/>
      <c r="H2773" s="12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</row>
    <row r="2774">
      <c r="A2774" s="11"/>
      <c r="B2774" s="12"/>
      <c r="C2774" s="12"/>
      <c r="D2774" s="12"/>
      <c r="E2774" s="12"/>
      <c r="F2774" s="12"/>
      <c r="G2774" s="12"/>
      <c r="H2774" s="12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</row>
    <row r="2775">
      <c r="A2775" s="11"/>
      <c r="B2775" s="12"/>
      <c r="C2775" s="12"/>
      <c r="D2775" s="12"/>
      <c r="E2775" s="12"/>
      <c r="F2775" s="12"/>
      <c r="G2775" s="12"/>
      <c r="H2775" s="12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</row>
    <row r="2776">
      <c r="A2776" s="11"/>
      <c r="B2776" s="12"/>
      <c r="C2776" s="12"/>
      <c r="D2776" s="12"/>
      <c r="E2776" s="12"/>
      <c r="F2776" s="12"/>
      <c r="G2776" s="12"/>
      <c r="H2776" s="12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</row>
    <row r="2777">
      <c r="A2777" s="11"/>
      <c r="B2777" s="12"/>
      <c r="C2777" s="12"/>
      <c r="D2777" s="12"/>
      <c r="E2777" s="12"/>
      <c r="F2777" s="12"/>
      <c r="G2777" s="12"/>
      <c r="H2777" s="12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</row>
    <row r="2778">
      <c r="A2778" s="11"/>
      <c r="B2778" s="12"/>
      <c r="C2778" s="12"/>
      <c r="D2778" s="12"/>
      <c r="E2778" s="12"/>
      <c r="F2778" s="12"/>
      <c r="G2778" s="12"/>
      <c r="H2778" s="12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</row>
    <row r="2779">
      <c r="A2779" s="11"/>
      <c r="B2779" s="12"/>
      <c r="C2779" s="12"/>
      <c r="D2779" s="12"/>
      <c r="E2779" s="12"/>
      <c r="F2779" s="12"/>
      <c r="G2779" s="12"/>
      <c r="H2779" s="12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</row>
    <row r="2780">
      <c r="A2780" s="11"/>
      <c r="B2780" s="12"/>
      <c r="C2780" s="12"/>
      <c r="D2780" s="12"/>
      <c r="E2780" s="12"/>
      <c r="F2780" s="12"/>
      <c r="G2780" s="12"/>
      <c r="H2780" s="12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</row>
    <row r="2781">
      <c r="A2781" s="11"/>
      <c r="B2781" s="12"/>
      <c r="C2781" s="12"/>
      <c r="D2781" s="12"/>
      <c r="E2781" s="12"/>
      <c r="F2781" s="12"/>
      <c r="G2781" s="12"/>
      <c r="H2781" s="12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</row>
    <row r="2782">
      <c r="A2782" s="11"/>
      <c r="B2782" s="12"/>
      <c r="C2782" s="12"/>
      <c r="D2782" s="12"/>
      <c r="E2782" s="12"/>
      <c r="F2782" s="12"/>
      <c r="G2782" s="12"/>
      <c r="H2782" s="12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</row>
    <row r="2783">
      <c r="A2783" s="11"/>
      <c r="B2783" s="12"/>
      <c r="C2783" s="12"/>
      <c r="D2783" s="12"/>
      <c r="E2783" s="12"/>
      <c r="F2783" s="12"/>
      <c r="G2783" s="12"/>
      <c r="H2783" s="12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</row>
    <row r="2784">
      <c r="A2784" s="11"/>
      <c r="B2784" s="12"/>
      <c r="C2784" s="12"/>
      <c r="D2784" s="12"/>
      <c r="E2784" s="12"/>
      <c r="F2784" s="12"/>
      <c r="G2784" s="12"/>
      <c r="H2784" s="12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</row>
    <row r="2785">
      <c r="A2785" s="11"/>
      <c r="B2785" s="12"/>
      <c r="C2785" s="12"/>
      <c r="D2785" s="12"/>
      <c r="E2785" s="12"/>
      <c r="F2785" s="12"/>
      <c r="G2785" s="12"/>
      <c r="H2785" s="12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</row>
    <row r="2786">
      <c r="A2786" s="11"/>
      <c r="B2786" s="12"/>
      <c r="C2786" s="12"/>
      <c r="D2786" s="12"/>
      <c r="E2786" s="12"/>
      <c r="F2786" s="12"/>
      <c r="G2786" s="12"/>
      <c r="H2786" s="12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</row>
    <row r="2787">
      <c r="A2787" s="11"/>
      <c r="B2787" s="12"/>
      <c r="C2787" s="12"/>
      <c r="D2787" s="12"/>
      <c r="E2787" s="12"/>
      <c r="F2787" s="12"/>
      <c r="G2787" s="12"/>
      <c r="H2787" s="12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</row>
    <row r="2788">
      <c r="A2788" s="11"/>
      <c r="B2788" s="12"/>
      <c r="C2788" s="12"/>
      <c r="D2788" s="12"/>
      <c r="E2788" s="12"/>
      <c r="F2788" s="12"/>
      <c r="G2788" s="12"/>
      <c r="H2788" s="12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</row>
    <row r="2789">
      <c r="A2789" s="11"/>
      <c r="B2789" s="12"/>
      <c r="C2789" s="12"/>
      <c r="D2789" s="12"/>
      <c r="E2789" s="12"/>
      <c r="F2789" s="12"/>
      <c r="G2789" s="12"/>
      <c r="H2789" s="12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</row>
    <row r="2790">
      <c r="A2790" s="11"/>
      <c r="B2790" s="12"/>
      <c r="C2790" s="12"/>
      <c r="D2790" s="12"/>
      <c r="E2790" s="12"/>
      <c r="F2790" s="12"/>
      <c r="G2790" s="12"/>
      <c r="H2790" s="12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</row>
    <row r="2791">
      <c r="A2791" s="11"/>
      <c r="B2791" s="12"/>
      <c r="C2791" s="12"/>
      <c r="D2791" s="12"/>
      <c r="E2791" s="12"/>
      <c r="F2791" s="12"/>
      <c r="G2791" s="12"/>
      <c r="H2791" s="12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</row>
    <row r="2792">
      <c r="A2792" s="11"/>
      <c r="B2792" s="12"/>
      <c r="C2792" s="12"/>
      <c r="D2792" s="12"/>
      <c r="E2792" s="12"/>
      <c r="F2792" s="12"/>
      <c r="G2792" s="12"/>
      <c r="H2792" s="12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</row>
    <row r="2793">
      <c r="A2793" s="11"/>
      <c r="B2793" s="12"/>
      <c r="C2793" s="12"/>
      <c r="D2793" s="12"/>
      <c r="E2793" s="12"/>
      <c r="F2793" s="12"/>
      <c r="G2793" s="12"/>
      <c r="H2793" s="12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</row>
    <row r="2794">
      <c r="A2794" s="11"/>
      <c r="B2794" s="12"/>
      <c r="C2794" s="12"/>
      <c r="D2794" s="12"/>
      <c r="E2794" s="12"/>
      <c r="F2794" s="12"/>
      <c r="G2794" s="12"/>
      <c r="H2794" s="12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</row>
    <row r="2795">
      <c r="A2795" s="11"/>
      <c r="B2795" s="12"/>
      <c r="C2795" s="12"/>
      <c r="D2795" s="12"/>
      <c r="E2795" s="12"/>
      <c r="F2795" s="12"/>
      <c r="G2795" s="12"/>
      <c r="H2795" s="12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</row>
    <row r="2796">
      <c r="A2796" s="11"/>
      <c r="B2796" s="12"/>
      <c r="C2796" s="12"/>
      <c r="D2796" s="12"/>
      <c r="E2796" s="12"/>
      <c r="F2796" s="12"/>
      <c r="G2796" s="12"/>
      <c r="H2796" s="12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</row>
    <row r="2797">
      <c r="A2797" s="11"/>
      <c r="B2797" s="12"/>
      <c r="C2797" s="12"/>
      <c r="D2797" s="12"/>
      <c r="E2797" s="12"/>
      <c r="F2797" s="12"/>
      <c r="G2797" s="12"/>
      <c r="H2797" s="12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</row>
    <row r="2798">
      <c r="A2798" s="11"/>
      <c r="B2798" s="12"/>
      <c r="C2798" s="12"/>
      <c r="D2798" s="12"/>
      <c r="E2798" s="12"/>
      <c r="F2798" s="12"/>
      <c r="G2798" s="12"/>
      <c r="H2798" s="12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</row>
    <row r="2799">
      <c r="A2799" s="11"/>
      <c r="B2799" s="12"/>
      <c r="C2799" s="12"/>
      <c r="D2799" s="12"/>
      <c r="E2799" s="12"/>
      <c r="F2799" s="12"/>
      <c r="G2799" s="12"/>
      <c r="H2799" s="12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</row>
    <row r="2800">
      <c r="A2800" s="11"/>
      <c r="B2800" s="12"/>
      <c r="C2800" s="12"/>
      <c r="D2800" s="12"/>
      <c r="E2800" s="12"/>
      <c r="F2800" s="12"/>
      <c r="G2800" s="12"/>
      <c r="H2800" s="12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</row>
    <row r="2801">
      <c r="A2801" s="11"/>
      <c r="B2801" s="12"/>
      <c r="C2801" s="12"/>
      <c r="D2801" s="12"/>
      <c r="E2801" s="12"/>
      <c r="F2801" s="12"/>
      <c r="G2801" s="12"/>
      <c r="H2801" s="12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</row>
    <row r="2802">
      <c r="A2802" s="11"/>
      <c r="B2802" s="12"/>
      <c r="C2802" s="12"/>
      <c r="D2802" s="12"/>
      <c r="E2802" s="12"/>
      <c r="F2802" s="12"/>
      <c r="G2802" s="12"/>
      <c r="H2802" s="12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</row>
    <row r="2803">
      <c r="A2803" s="11"/>
      <c r="B2803" s="12"/>
      <c r="C2803" s="12"/>
      <c r="D2803" s="12"/>
      <c r="E2803" s="12"/>
      <c r="F2803" s="12"/>
      <c r="G2803" s="12"/>
      <c r="H2803" s="12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</row>
    <row r="2804">
      <c r="A2804" s="11"/>
      <c r="B2804" s="12"/>
      <c r="C2804" s="12"/>
      <c r="D2804" s="12"/>
      <c r="E2804" s="12"/>
      <c r="F2804" s="12"/>
      <c r="G2804" s="12"/>
      <c r="H2804" s="12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</row>
    <row r="2805">
      <c r="A2805" s="11"/>
      <c r="B2805" s="12"/>
      <c r="C2805" s="12"/>
      <c r="D2805" s="12"/>
      <c r="E2805" s="12"/>
      <c r="F2805" s="12"/>
      <c r="G2805" s="12"/>
      <c r="H2805" s="12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</row>
    <row r="2806">
      <c r="A2806" s="11"/>
      <c r="B2806" s="12"/>
      <c r="C2806" s="12"/>
      <c r="D2806" s="12"/>
      <c r="E2806" s="12"/>
      <c r="F2806" s="12"/>
      <c r="G2806" s="12"/>
      <c r="H2806" s="12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</row>
    <row r="2807">
      <c r="A2807" s="11"/>
      <c r="B2807" s="12"/>
      <c r="C2807" s="12"/>
      <c r="D2807" s="12"/>
      <c r="E2807" s="12"/>
      <c r="F2807" s="12"/>
      <c r="G2807" s="12"/>
      <c r="H2807" s="12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</row>
    <row r="2808">
      <c r="A2808" s="11"/>
      <c r="B2808" s="12"/>
      <c r="C2808" s="12"/>
      <c r="D2808" s="12"/>
      <c r="E2808" s="12"/>
      <c r="F2808" s="12"/>
      <c r="G2808" s="12"/>
      <c r="H2808" s="12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</row>
    <row r="2809">
      <c r="A2809" s="11"/>
      <c r="B2809" s="12"/>
      <c r="C2809" s="12"/>
      <c r="D2809" s="12"/>
      <c r="E2809" s="12"/>
      <c r="F2809" s="12"/>
      <c r="G2809" s="12"/>
      <c r="H2809" s="12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</row>
    <row r="2810">
      <c r="A2810" s="11"/>
      <c r="B2810" s="12"/>
      <c r="C2810" s="12"/>
      <c r="D2810" s="12"/>
      <c r="E2810" s="12"/>
      <c r="F2810" s="12"/>
      <c r="G2810" s="12"/>
      <c r="H2810" s="12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</row>
    <row r="2811">
      <c r="A2811" s="11"/>
      <c r="B2811" s="12"/>
      <c r="C2811" s="12"/>
      <c r="D2811" s="12"/>
      <c r="E2811" s="12"/>
      <c r="F2811" s="12"/>
      <c r="G2811" s="12"/>
      <c r="H2811" s="12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</row>
    <row r="2812">
      <c r="A2812" s="11"/>
      <c r="B2812" s="12"/>
      <c r="C2812" s="12"/>
      <c r="D2812" s="12"/>
      <c r="E2812" s="12"/>
      <c r="F2812" s="12"/>
      <c r="G2812" s="12"/>
      <c r="H2812" s="12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</row>
    <row r="2813">
      <c r="A2813" s="11"/>
      <c r="B2813" s="12"/>
      <c r="C2813" s="12"/>
      <c r="D2813" s="12"/>
      <c r="E2813" s="12"/>
      <c r="F2813" s="12"/>
      <c r="G2813" s="12"/>
      <c r="H2813" s="12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</row>
    <row r="2814">
      <c r="A2814" s="11"/>
      <c r="B2814" s="12"/>
      <c r="C2814" s="12"/>
      <c r="D2814" s="12"/>
      <c r="E2814" s="12"/>
      <c r="F2814" s="12"/>
      <c r="G2814" s="12"/>
      <c r="H2814" s="12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</row>
    <row r="2815">
      <c r="A2815" s="11"/>
      <c r="B2815" s="12"/>
      <c r="C2815" s="12"/>
      <c r="D2815" s="12"/>
      <c r="E2815" s="12"/>
      <c r="F2815" s="12"/>
      <c r="G2815" s="12"/>
      <c r="H2815" s="12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</row>
    <row r="2816">
      <c r="A2816" s="11"/>
      <c r="B2816" s="12"/>
      <c r="C2816" s="12"/>
      <c r="D2816" s="12"/>
      <c r="E2816" s="12"/>
      <c r="F2816" s="12"/>
      <c r="G2816" s="12"/>
      <c r="H2816" s="12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</row>
    <row r="2817">
      <c r="A2817" s="11"/>
      <c r="B2817" s="12"/>
      <c r="C2817" s="12"/>
      <c r="D2817" s="12"/>
      <c r="E2817" s="12"/>
      <c r="F2817" s="12"/>
      <c r="G2817" s="12"/>
      <c r="H2817" s="12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</row>
    <row r="2818">
      <c r="A2818" s="11"/>
      <c r="B2818" s="12"/>
      <c r="C2818" s="12"/>
      <c r="D2818" s="12"/>
      <c r="E2818" s="12"/>
      <c r="F2818" s="12"/>
      <c r="G2818" s="12"/>
      <c r="H2818" s="12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</row>
    <row r="2819">
      <c r="A2819" s="11"/>
      <c r="B2819" s="12"/>
      <c r="C2819" s="12"/>
      <c r="D2819" s="12"/>
      <c r="E2819" s="12"/>
      <c r="F2819" s="12"/>
      <c r="G2819" s="12"/>
      <c r="H2819" s="12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</row>
    <row r="2820">
      <c r="A2820" s="11"/>
      <c r="B2820" s="12"/>
      <c r="C2820" s="12"/>
      <c r="D2820" s="12"/>
      <c r="E2820" s="12"/>
      <c r="F2820" s="12"/>
      <c r="G2820" s="12"/>
      <c r="H2820" s="12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</row>
    <row r="2821">
      <c r="A2821" s="11"/>
      <c r="B2821" s="12"/>
      <c r="C2821" s="12"/>
      <c r="D2821" s="12"/>
      <c r="E2821" s="12"/>
      <c r="F2821" s="12"/>
      <c r="G2821" s="12"/>
      <c r="H2821" s="12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</row>
    <row r="2822">
      <c r="A2822" s="11"/>
      <c r="B2822" s="12"/>
      <c r="C2822" s="12"/>
      <c r="D2822" s="12"/>
      <c r="E2822" s="12"/>
      <c r="F2822" s="12"/>
      <c r="G2822" s="12"/>
      <c r="H2822" s="12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</row>
    <row r="2823">
      <c r="A2823" s="11"/>
      <c r="B2823" s="12"/>
      <c r="C2823" s="12"/>
      <c r="D2823" s="12"/>
      <c r="E2823" s="12"/>
      <c r="F2823" s="12"/>
      <c r="G2823" s="12"/>
      <c r="H2823" s="12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</row>
    <row r="2824">
      <c r="A2824" s="11"/>
      <c r="B2824" s="12"/>
      <c r="C2824" s="12"/>
      <c r="D2824" s="12"/>
      <c r="E2824" s="12"/>
      <c r="F2824" s="12"/>
      <c r="G2824" s="12"/>
      <c r="H2824" s="12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</row>
    <row r="2825">
      <c r="A2825" s="11"/>
      <c r="B2825" s="12"/>
      <c r="C2825" s="12"/>
      <c r="D2825" s="12"/>
      <c r="E2825" s="12"/>
      <c r="F2825" s="12"/>
      <c r="G2825" s="12"/>
      <c r="H2825" s="12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</row>
    <row r="2826">
      <c r="A2826" s="11"/>
      <c r="B2826" s="12"/>
      <c r="C2826" s="12"/>
      <c r="D2826" s="12"/>
      <c r="E2826" s="12"/>
      <c r="F2826" s="12"/>
      <c r="G2826" s="12"/>
      <c r="H2826" s="12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</row>
    <row r="2827">
      <c r="A2827" s="11"/>
      <c r="B2827" s="12"/>
      <c r="C2827" s="12"/>
      <c r="D2827" s="12"/>
      <c r="E2827" s="12"/>
      <c r="F2827" s="12"/>
      <c r="G2827" s="12"/>
      <c r="H2827" s="12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</row>
    <row r="2828">
      <c r="A2828" s="11"/>
      <c r="B2828" s="12"/>
      <c r="C2828" s="12"/>
      <c r="D2828" s="12"/>
      <c r="E2828" s="12"/>
      <c r="F2828" s="12"/>
      <c r="G2828" s="12"/>
      <c r="H2828" s="12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</row>
    <row r="2829">
      <c r="A2829" s="11"/>
      <c r="B2829" s="12"/>
      <c r="C2829" s="12"/>
      <c r="D2829" s="12"/>
      <c r="E2829" s="12"/>
      <c r="F2829" s="12"/>
      <c r="G2829" s="12"/>
      <c r="H2829" s="12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</row>
    <row r="2830">
      <c r="A2830" s="11"/>
      <c r="B2830" s="12"/>
      <c r="C2830" s="12"/>
      <c r="D2830" s="12"/>
      <c r="E2830" s="12"/>
      <c r="F2830" s="12"/>
      <c r="G2830" s="12"/>
      <c r="H2830" s="12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</row>
    <row r="2831">
      <c r="A2831" s="11"/>
      <c r="B2831" s="12"/>
      <c r="C2831" s="12"/>
      <c r="D2831" s="12"/>
      <c r="E2831" s="12"/>
      <c r="F2831" s="12"/>
      <c r="G2831" s="12"/>
      <c r="H2831" s="12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</row>
  </sheetData>
  <dataValidations>
    <dataValidation type="list" allowBlank="1" showErrorMessage="1" sqref="G77:H77 G79:H86 G88:H100 G511:H600">
      <formula1>"Pass,Fail,No found,Upcoming"</formula1>
    </dataValidation>
    <dataValidation type="list" allowBlank="1" showErrorMessage="1" sqref="G2:H76 G78:H78 G87:H87 G101:H442 H443 G444:H510 G601:H1017 G1034:H1095 G1097:H1200">
      <formula1>"Pass,Fail,No found,Upcoming,date difference"</formula1>
    </dataValidation>
    <dataValidation type="list" allowBlank="1" showErrorMessage="1" sqref="G443">
      <formula1>"Pass,Fail,No found,Upcoming,Date differnce"</formula1>
    </dataValidation>
  </dataValidations>
  <drawing r:id="rId1"/>
</worksheet>
</file>