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D-PRINTER\COLLECTED DATA\"/>
    </mc:Choice>
  </mc:AlternateContent>
  <xr:revisionPtr revIDLastSave="0" documentId="13_ncr:1_{89350E24-96ED-4687-B57E-7A632E6F8F0C}" xr6:coauthVersionLast="47" xr6:coauthVersionMax="47" xr10:uidLastSave="{00000000-0000-0000-0000-000000000000}"/>
  <bookViews>
    <workbookView xWindow="25695" yWindow="0" windowWidth="26010" windowHeight="20985" activeTab="1" xr2:uid="{759ECCC0-DE5A-4357-9E7D-57BD42931C1A}"/>
  </bookViews>
  <sheets>
    <sheet name="HotBed" sheetId="1" r:id="rId1"/>
    <sheet name="hot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2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3" i="2"/>
  <c r="D4" i="2"/>
  <c r="D5" i="2"/>
  <c r="D6" i="2"/>
  <c r="D7" i="2"/>
  <c r="D8" i="2"/>
  <c r="D2" i="2"/>
  <c r="I27" i="2"/>
  <c r="G48" i="2" a="1"/>
  <c r="G48" i="2" s="1"/>
  <c r="J24" i="2"/>
  <c r="J23" i="2"/>
  <c r="J22" i="2"/>
  <c r="I24" i="2"/>
  <c r="I23" i="2"/>
  <c r="I2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2" i="2"/>
  <c r="P33" i="2"/>
  <c r="P3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2" i="2"/>
  <c r="M22" i="2"/>
  <c r="M23" i="2" s="1"/>
  <c r="Q23" i="2"/>
  <c r="L23" i="1"/>
  <c r="D27" i="1"/>
  <c r="E24" i="1"/>
  <c r="E23" i="1"/>
  <c r="E22" i="1"/>
  <c r="D24" i="1"/>
  <c r="D23" i="1"/>
  <c r="D22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7" i="1"/>
  <c r="B6" i="1"/>
  <c r="B5" i="1"/>
  <c r="B4" i="1"/>
  <c r="B3" i="1"/>
  <c r="B2" i="1"/>
  <c r="K23" i="2" l="1"/>
  <c r="K22" i="2"/>
  <c r="F22" i="1"/>
  <c r="F23" i="1"/>
  <c r="G24" i="1" s="1"/>
  <c r="G23" i="1" s="1"/>
  <c r="G22" i="1" s="1"/>
  <c r="L24" i="2" l="1"/>
  <c r="L23" i="2" s="1"/>
  <c r="L2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<sst xmlns="http://schemas.openxmlformats.org/spreadsheetml/2006/main" count="41" uniqueCount="27">
  <si>
    <t>Resistance</t>
  </si>
  <si>
    <t>Temperature</t>
  </si>
  <si>
    <t>Comment</t>
  </si>
  <si>
    <t>?!?</t>
  </si>
  <si>
    <t>1.</t>
  </si>
  <si>
    <t>2.</t>
  </si>
  <si>
    <t>3.</t>
  </si>
  <si>
    <t>L</t>
  </si>
  <si>
    <t>Y</t>
  </si>
  <si>
    <t>y</t>
  </si>
  <si>
    <t>A,B,C</t>
  </si>
  <si>
    <t>R</t>
  </si>
  <si>
    <t>C</t>
  </si>
  <si>
    <t>Vin:</t>
  </si>
  <si>
    <t>Resolution</t>
  </si>
  <si>
    <t>Temp [K]</t>
  </si>
  <si>
    <t>A5</t>
  </si>
  <si>
    <t>A4</t>
  </si>
  <si>
    <t>A3</t>
  </si>
  <si>
    <t>A2</t>
  </si>
  <si>
    <t>A1</t>
  </si>
  <si>
    <t>A0</t>
  </si>
  <si>
    <t>Res poly</t>
  </si>
  <si>
    <t>Temp</t>
  </si>
  <si>
    <t>A6</t>
  </si>
  <si>
    <t>B:</t>
  </si>
  <si>
    <t>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</si>
</sst>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64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HotBed!$B$1</c:f>
              <c:strCache>
                <c:ptCount val="1"/>
                <c:pt idx="0">
                  <c:v>Resistance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HotBed!$A$2:$A$30</c:f>
              <c:numCache>
                <c:formatCode>General</c:formatCode>
                <c:ptCount val="29"/>
                <c:pt idx="0">
                  <c:v>-30</c:v>
                </c:pt>
                <c:pt idx="1">
                  <c:v>-25</c:v>
                </c:pt>
                <c:pt idx="2">
                  <c:v>-20</c:v>
                </c:pt>
                <c:pt idx="3">
                  <c:v>-15</c:v>
                </c:pt>
                <c:pt idx="4">
                  <c:v>-10</c:v>
                </c:pt>
                <c:pt idx="5">
                  <c:v>-5</c:v>
                </c:pt>
                <c:pt idx="6">
                  <c:v>0</c:v>
                </c:pt>
                <c:pt idx="7">
                  <c:v>5</c:v>
                </c:pt>
                <c:pt idx="8">
                  <c:v>10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35</c:v>
                </c:pt>
                <c:pt idx="14">
                  <c:v>40</c:v>
                </c:pt>
                <c:pt idx="15">
                  <c:v>45</c:v>
                </c:pt>
                <c:pt idx="16">
                  <c:v>50</c:v>
                </c:pt>
                <c:pt idx="17">
                  <c:v>55</c:v>
                </c:pt>
                <c:pt idx="18">
                  <c:v>60</c:v>
                </c:pt>
                <c:pt idx="19">
                  <c:v>65</c:v>
                </c:pt>
                <c:pt idx="20">
                  <c:v>70</c:v>
                </c:pt>
                <c:pt idx="21">
                  <c:v>75</c:v>
                </c:pt>
                <c:pt idx="22">
                  <c:v>80</c:v>
                </c:pt>
                <c:pt idx="23">
                  <c:v>85</c:v>
                </c:pt>
                <c:pt idx="24">
                  <c:v>90</c:v>
                </c:pt>
                <c:pt idx="25">
                  <c:v>95</c:v>
                </c:pt>
                <c:pt idx="26">
                  <c:v>100</c:v>
                </c:pt>
                <c:pt idx="27">
                  <c:v>105</c:v>
                </c:pt>
                <c:pt idx="28">
                  <c:v>110</c:v>
                </c:pt>
              </c:numCache>
            </c:numRef>
          </c:xVal>
          <c:yVal>
            <c:numRef>
              <c:f>HotBed!$B$2:$B$30</c:f>
              <c:numCache>
                <c:formatCode>General</c:formatCode>
                <c:ptCount val="29"/>
                <c:pt idx="0">
                  <c:v>90.85</c:v>
                </c:pt>
                <c:pt idx="1">
                  <c:v>66.650000000000006</c:v>
                </c:pt>
                <c:pt idx="2">
                  <c:v>49.44</c:v>
                </c:pt>
                <c:pt idx="3">
                  <c:v>37.049999999999997</c:v>
                </c:pt>
                <c:pt idx="4">
                  <c:v>28.03</c:v>
                </c:pt>
                <c:pt idx="5">
                  <c:v>21.4</c:v>
                </c:pt>
                <c:pt idx="6">
                  <c:v>16.48</c:v>
                </c:pt>
                <c:pt idx="7">
                  <c:v>12.79</c:v>
                </c:pt>
                <c:pt idx="8">
                  <c:v>10</c:v>
                </c:pt>
                <c:pt idx="9">
                  <c:v>7.88</c:v>
                </c:pt>
                <c:pt idx="10">
                  <c:v>6.2549999999999999</c:v>
                </c:pt>
                <c:pt idx="11">
                  <c:v>5</c:v>
                </c:pt>
                <c:pt idx="12">
                  <c:v>4.024</c:v>
                </c:pt>
                <c:pt idx="13">
                  <c:v>3.2589999999999999</c:v>
                </c:pt>
                <c:pt idx="14">
                  <c:v>2.6560000000000001</c:v>
                </c:pt>
                <c:pt idx="15">
                  <c:v>2.177</c:v>
                </c:pt>
                <c:pt idx="16">
                  <c:v>1.794</c:v>
                </c:pt>
                <c:pt idx="17">
                  <c:v>1.4870000000000001</c:v>
                </c:pt>
                <c:pt idx="18">
                  <c:v>1.238</c:v>
                </c:pt>
                <c:pt idx="19">
                  <c:v>1.036</c:v>
                </c:pt>
                <c:pt idx="20">
                  <c:v>0.87150000000000005</c:v>
                </c:pt>
                <c:pt idx="21">
                  <c:v>0.73650000000000004</c:v>
                </c:pt>
                <c:pt idx="22">
                  <c:v>0.625</c:v>
                </c:pt>
                <c:pt idx="23">
                  <c:v>0.53249999999999997</c:v>
                </c:pt>
                <c:pt idx="24">
                  <c:v>0.45550000000000002</c:v>
                </c:pt>
                <c:pt idx="25">
                  <c:v>0.39119999999999999</c:v>
                </c:pt>
                <c:pt idx="26">
                  <c:v>0.3372</c:v>
                </c:pt>
                <c:pt idx="27">
                  <c:v>0.2918</c:v>
                </c:pt>
                <c:pt idx="28">
                  <c:v>0.25330000000000003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74-4DE4-8117-B686B9425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511055"/>
        <c:axId val="595513967"/>
      </c:scatterChart>
      <c:valAx>
        <c:axId val="595511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5513967"/>
        <c:crosses val="autoZero"/>
        <c:crossBetween val="midCat"/>
      </c:valAx>
      <c:valAx>
        <c:axId val="59551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5511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hotend!$C$1</c:f>
              <c:strCache>
                <c:ptCount val="1"/>
                <c:pt idx="0">
                  <c:v>Resistance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hotend!$A$2:$A$182</c:f>
              <c:numCache>
                <c:formatCode>General</c:formatCode>
                <c:ptCount val="181"/>
                <c:pt idx="0">
                  <c:v>-55</c:v>
                </c:pt>
                <c:pt idx="1">
                  <c:v>-54</c:v>
                </c:pt>
                <c:pt idx="2">
                  <c:v>-53</c:v>
                </c:pt>
                <c:pt idx="3">
                  <c:v>-52</c:v>
                </c:pt>
                <c:pt idx="4">
                  <c:v>-51</c:v>
                </c:pt>
                <c:pt idx="5">
                  <c:v>-50</c:v>
                </c:pt>
                <c:pt idx="6">
                  <c:v>-49</c:v>
                </c:pt>
                <c:pt idx="7">
                  <c:v>-48</c:v>
                </c:pt>
                <c:pt idx="8">
                  <c:v>-47</c:v>
                </c:pt>
                <c:pt idx="9">
                  <c:v>-46</c:v>
                </c:pt>
                <c:pt idx="10">
                  <c:v>-45</c:v>
                </c:pt>
                <c:pt idx="11">
                  <c:v>-44</c:v>
                </c:pt>
                <c:pt idx="12">
                  <c:v>-43</c:v>
                </c:pt>
                <c:pt idx="13">
                  <c:v>-42</c:v>
                </c:pt>
                <c:pt idx="14">
                  <c:v>-41</c:v>
                </c:pt>
                <c:pt idx="15">
                  <c:v>-40</c:v>
                </c:pt>
                <c:pt idx="16">
                  <c:v>-39</c:v>
                </c:pt>
                <c:pt idx="17">
                  <c:v>-38</c:v>
                </c:pt>
                <c:pt idx="18">
                  <c:v>-37</c:v>
                </c:pt>
                <c:pt idx="19">
                  <c:v>-36</c:v>
                </c:pt>
                <c:pt idx="20">
                  <c:v>-35</c:v>
                </c:pt>
                <c:pt idx="21">
                  <c:v>-34</c:v>
                </c:pt>
                <c:pt idx="22">
                  <c:v>-33</c:v>
                </c:pt>
                <c:pt idx="23">
                  <c:v>-32</c:v>
                </c:pt>
                <c:pt idx="24">
                  <c:v>-31</c:v>
                </c:pt>
                <c:pt idx="25">
                  <c:v>-30</c:v>
                </c:pt>
                <c:pt idx="26">
                  <c:v>-29</c:v>
                </c:pt>
                <c:pt idx="27">
                  <c:v>-28</c:v>
                </c:pt>
                <c:pt idx="28">
                  <c:v>-27</c:v>
                </c:pt>
                <c:pt idx="29">
                  <c:v>-26</c:v>
                </c:pt>
                <c:pt idx="30">
                  <c:v>-25</c:v>
                </c:pt>
                <c:pt idx="31">
                  <c:v>-24</c:v>
                </c:pt>
                <c:pt idx="32">
                  <c:v>-23</c:v>
                </c:pt>
                <c:pt idx="33">
                  <c:v>-22</c:v>
                </c:pt>
                <c:pt idx="34">
                  <c:v>-21</c:v>
                </c:pt>
                <c:pt idx="35">
                  <c:v>-20</c:v>
                </c:pt>
                <c:pt idx="36">
                  <c:v>-19</c:v>
                </c:pt>
                <c:pt idx="37">
                  <c:v>-18</c:v>
                </c:pt>
                <c:pt idx="38">
                  <c:v>-17</c:v>
                </c:pt>
                <c:pt idx="39">
                  <c:v>-16</c:v>
                </c:pt>
                <c:pt idx="40">
                  <c:v>-15</c:v>
                </c:pt>
                <c:pt idx="41">
                  <c:v>-14</c:v>
                </c:pt>
                <c:pt idx="42">
                  <c:v>-13</c:v>
                </c:pt>
                <c:pt idx="43">
                  <c:v>-12</c:v>
                </c:pt>
                <c:pt idx="44">
                  <c:v>-11</c:v>
                </c:pt>
                <c:pt idx="45">
                  <c:v>-10</c:v>
                </c:pt>
                <c:pt idx="46">
                  <c:v>-9</c:v>
                </c:pt>
                <c:pt idx="47">
                  <c:v>-8</c:v>
                </c:pt>
                <c:pt idx="48">
                  <c:v>-7</c:v>
                </c:pt>
                <c:pt idx="49">
                  <c:v>-6</c:v>
                </c:pt>
                <c:pt idx="50">
                  <c:v>-5</c:v>
                </c:pt>
                <c:pt idx="51">
                  <c:v>-4</c:v>
                </c:pt>
                <c:pt idx="52">
                  <c:v>-3</c:v>
                </c:pt>
                <c:pt idx="53">
                  <c:v>-2</c:v>
                </c:pt>
                <c:pt idx="54">
                  <c:v>-1</c:v>
                </c:pt>
                <c:pt idx="55">
                  <c:v>0</c:v>
                </c:pt>
                <c:pt idx="56">
                  <c:v>1</c:v>
                </c:pt>
                <c:pt idx="57">
                  <c:v>2</c:v>
                </c:pt>
                <c:pt idx="58">
                  <c:v>3</c:v>
                </c:pt>
                <c:pt idx="59">
                  <c:v>4</c:v>
                </c:pt>
                <c:pt idx="60">
                  <c:v>5</c:v>
                </c:pt>
                <c:pt idx="61">
                  <c:v>6</c:v>
                </c:pt>
                <c:pt idx="62">
                  <c:v>7</c:v>
                </c:pt>
                <c:pt idx="63">
                  <c:v>8</c:v>
                </c:pt>
                <c:pt idx="64">
                  <c:v>9</c:v>
                </c:pt>
                <c:pt idx="65">
                  <c:v>10</c:v>
                </c:pt>
                <c:pt idx="66">
                  <c:v>11</c:v>
                </c:pt>
                <c:pt idx="67">
                  <c:v>12</c:v>
                </c:pt>
                <c:pt idx="68">
                  <c:v>13</c:v>
                </c:pt>
                <c:pt idx="69">
                  <c:v>14</c:v>
                </c:pt>
                <c:pt idx="70">
                  <c:v>15</c:v>
                </c:pt>
                <c:pt idx="71">
                  <c:v>16</c:v>
                </c:pt>
                <c:pt idx="72">
                  <c:v>17</c:v>
                </c:pt>
                <c:pt idx="73">
                  <c:v>18</c:v>
                </c:pt>
                <c:pt idx="74">
                  <c:v>19</c:v>
                </c:pt>
                <c:pt idx="75">
                  <c:v>20</c:v>
                </c:pt>
                <c:pt idx="76">
                  <c:v>21</c:v>
                </c:pt>
                <c:pt idx="77">
                  <c:v>22</c:v>
                </c:pt>
                <c:pt idx="78">
                  <c:v>23</c:v>
                </c:pt>
                <c:pt idx="79">
                  <c:v>24</c:v>
                </c:pt>
                <c:pt idx="80">
                  <c:v>25</c:v>
                </c:pt>
                <c:pt idx="81">
                  <c:v>26</c:v>
                </c:pt>
                <c:pt idx="82">
                  <c:v>27</c:v>
                </c:pt>
                <c:pt idx="83">
                  <c:v>28</c:v>
                </c:pt>
                <c:pt idx="84">
                  <c:v>29</c:v>
                </c:pt>
                <c:pt idx="85">
                  <c:v>30</c:v>
                </c:pt>
                <c:pt idx="86">
                  <c:v>31</c:v>
                </c:pt>
                <c:pt idx="87">
                  <c:v>32</c:v>
                </c:pt>
                <c:pt idx="88">
                  <c:v>33</c:v>
                </c:pt>
                <c:pt idx="89">
                  <c:v>34</c:v>
                </c:pt>
                <c:pt idx="90">
                  <c:v>35</c:v>
                </c:pt>
                <c:pt idx="91">
                  <c:v>36</c:v>
                </c:pt>
                <c:pt idx="92">
                  <c:v>37</c:v>
                </c:pt>
                <c:pt idx="93">
                  <c:v>38</c:v>
                </c:pt>
                <c:pt idx="94">
                  <c:v>39</c:v>
                </c:pt>
                <c:pt idx="95">
                  <c:v>40</c:v>
                </c:pt>
                <c:pt idx="96">
                  <c:v>41</c:v>
                </c:pt>
                <c:pt idx="97">
                  <c:v>42</c:v>
                </c:pt>
                <c:pt idx="98">
                  <c:v>43</c:v>
                </c:pt>
                <c:pt idx="99">
                  <c:v>44</c:v>
                </c:pt>
                <c:pt idx="100">
                  <c:v>45</c:v>
                </c:pt>
                <c:pt idx="101">
                  <c:v>46</c:v>
                </c:pt>
                <c:pt idx="102">
                  <c:v>47</c:v>
                </c:pt>
                <c:pt idx="103">
                  <c:v>48</c:v>
                </c:pt>
                <c:pt idx="104">
                  <c:v>49</c:v>
                </c:pt>
                <c:pt idx="105">
                  <c:v>50</c:v>
                </c:pt>
                <c:pt idx="106">
                  <c:v>51</c:v>
                </c:pt>
                <c:pt idx="107">
                  <c:v>52</c:v>
                </c:pt>
                <c:pt idx="108">
                  <c:v>53</c:v>
                </c:pt>
                <c:pt idx="109">
                  <c:v>54</c:v>
                </c:pt>
                <c:pt idx="110">
                  <c:v>55</c:v>
                </c:pt>
                <c:pt idx="111">
                  <c:v>56</c:v>
                </c:pt>
                <c:pt idx="112">
                  <c:v>57</c:v>
                </c:pt>
                <c:pt idx="113">
                  <c:v>58</c:v>
                </c:pt>
                <c:pt idx="114">
                  <c:v>59</c:v>
                </c:pt>
                <c:pt idx="115">
                  <c:v>60</c:v>
                </c:pt>
                <c:pt idx="116">
                  <c:v>61</c:v>
                </c:pt>
                <c:pt idx="117">
                  <c:v>62</c:v>
                </c:pt>
                <c:pt idx="118">
                  <c:v>63</c:v>
                </c:pt>
                <c:pt idx="119">
                  <c:v>64</c:v>
                </c:pt>
                <c:pt idx="120">
                  <c:v>65</c:v>
                </c:pt>
                <c:pt idx="121">
                  <c:v>66</c:v>
                </c:pt>
                <c:pt idx="122">
                  <c:v>67</c:v>
                </c:pt>
                <c:pt idx="123">
                  <c:v>68</c:v>
                </c:pt>
                <c:pt idx="124">
                  <c:v>69</c:v>
                </c:pt>
                <c:pt idx="125">
                  <c:v>70</c:v>
                </c:pt>
                <c:pt idx="126">
                  <c:v>71</c:v>
                </c:pt>
                <c:pt idx="127">
                  <c:v>72</c:v>
                </c:pt>
                <c:pt idx="128">
                  <c:v>73</c:v>
                </c:pt>
                <c:pt idx="129">
                  <c:v>74</c:v>
                </c:pt>
                <c:pt idx="130">
                  <c:v>75</c:v>
                </c:pt>
                <c:pt idx="131">
                  <c:v>76</c:v>
                </c:pt>
                <c:pt idx="132">
                  <c:v>77</c:v>
                </c:pt>
                <c:pt idx="133">
                  <c:v>78</c:v>
                </c:pt>
                <c:pt idx="134">
                  <c:v>79</c:v>
                </c:pt>
                <c:pt idx="135">
                  <c:v>80</c:v>
                </c:pt>
                <c:pt idx="136">
                  <c:v>81</c:v>
                </c:pt>
                <c:pt idx="137">
                  <c:v>82</c:v>
                </c:pt>
                <c:pt idx="138">
                  <c:v>83</c:v>
                </c:pt>
                <c:pt idx="139">
                  <c:v>84</c:v>
                </c:pt>
                <c:pt idx="140">
                  <c:v>85</c:v>
                </c:pt>
                <c:pt idx="141">
                  <c:v>86</c:v>
                </c:pt>
                <c:pt idx="142">
                  <c:v>87</c:v>
                </c:pt>
                <c:pt idx="143">
                  <c:v>88</c:v>
                </c:pt>
                <c:pt idx="144">
                  <c:v>89</c:v>
                </c:pt>
                <c:pt idx="145">
                  <c:v>90</c:v>
                </c:pt>
                <c:pt idx="146">
                  <c:v>91</c:v>
                </c:pt>
                <c:pt idx="147">
                  <c:v>92</c:v>
                </c:pt>
                <c:pt idx="148">
                  <c:v>93</c:v>
                </c:pt>
                <c:pt idx="149">
                  <c:v>94</c:v>
                </c:pt>
                <c:pt idx="150">
                  <c:v>95</c:v>
                </c:pt>
                <c:pt idx="151">
                  <c:v>96</c:v>
                </c:pt>
                <c:pt idx="152">
                  <c:v>97</c:v>
                </c:pt>
                <c:pt idx="153">
                  <c:v>98</c:v>
                </c:pt>
                <c:pt idx="154">
                  <c:v>99</c:v>
                </c:pt>
                <c:pt idx="155">
                  <c:v>100</c:v>
                </c:pt>
                <c:pt idx="156">
                  <c:v>101</c:v>
                </c:pt>
                <c:pt idx="157">
                  <c:v>102</c:v>
                </c:pt>
                <c:pt idx="158">
                  <c:v>103</c:v>
                </c:pt>
                <c:pt idx="159">
                  <c:v>104</c:v>
                </c:pt>
                <c:pt idx="160">
                  <c:v>105</c:v>
                </c:pt>
                <c:pt idx="161">
                  <c:v>106</c:v>
                </c:pt>
                <c:pt idx="162">
                  <c:v>107</c:v>
                </c:pt>
                <c:pt idx="163">
                  <c:v>108</c:v>
                </c:pt>
                <c:pt idx="164">
                  <c:v>109</c:v>
                </c:pt>
                <c:pt idx="165">
                  <c:v>110</c:v>
                </c:pt>
                <c:pt idx="166">
                  <c:v>111</c:v>
                </c:pt>
                <c:pt idx="167">
                  <c:v>112</c:v>
                </c:pt>
                <c:pt idx="168">
                  <c:v>113</c:v>
                </c:pt>
                <c:pt idx="169">
                  <c:v>114</c:v>
                </c:pt>
                <c:pt idx="170">
                  <c:v>115</c:v>
                </c:pt>
                <c:pt idx="171">
                  <c:v>116</c:v>
                </c:pt>
                <c:pt idx="172">
                  <c:v>117</c:v>
                </c:pt>
                <c:pt idx="173">
                  <c:v>118</c:v>
                </c:pt>
                <c:pt idx="174">
                  <c:v>119</c:v>
                </c:pt>
                <c:pt idx="175">
                  <c:v>120</c:v>
                </c:pt>
                <c:pt idx="176">
                  <c:v>121</c:v>
                </c:pt>
                <c:pt idx="177">
                  <c:v>122</c:v>
                </c:pt>
                <c:pt idx="178">
                  <c:v>123</c:v>
                </c:pt>
                <c:pt idx="179">
                  <c:v>124</c:v>
                </c:pt>
                <c:pt idx="180">
                  <c:v>125</c:v>
                </c:pt>
              </c:numCache>
            </c:numRef>
          </c:xVal>
          <c:yVal>
            <c:numRef>
              <c:f>hotend!$C$2:$C$182</c:f>
              <c:numCache>
                <c:formatCode>General</c:formatCode>
                <c:ptCount val="181"/>
                <c:pt idx="0">
                  <c:v>11093800</c:v>
                </c:pt>
                <c:pt idx="1">
                  <c:v>10156100</c:v>
                </c:pt>
                <c:pt idx="2">
                  <c:v>9311690</c:v>
                </c:pt>
                <c:pt idx="3">
                  <c:v>8549810</c:v>
                </c:pt>
                <c:pt idx="4">
                  <c:v>7861200</c:v>
                </c:pt>
                <c:pt idx="5">
                  <c:v>7237730</c:v>
                </c:pt>
                <c:pt idx="6">
                  <c:v>6672310</c:v>
                </c:pt>
                <c:pt idx="7">
                  <c:v>6158700</c:v>
                </c:pt>
                <c:pt idx="8">
                  <c:v>5691440</c:v>
                </c:pt>
                <c:pt idx="9">
                  <c:v>5265690</c:v>
                </c:pt>
                <c:pt idx="10">
                  <c:v>4877200</c:v>
                </c:pt>
                <c:pt idx="11">
                  <c:v>4522230</c:v>
                </c:pt>
                <c:pt idx="12">
                  <c:v>4197420</c:v>
                </c:pt>
                <c:pt idx="13">
                  <c:v>3899830</c:v>
                </c:pt>
                <c:pt idx="14">
                  <c:v>3626830</c:v>
                </c:pt>
                <c:pt idx="15">
                  <c:v>3376080</c:v>
                </c:pt>
                <c:pt idx="16">
                  <c:v>3145490</c:v>
                </c:pt>
                <c:pt idx="17">
                  <c:v>2933200</c:v>
                </c:pt>
                <c:pt idx="18">
                  <c:v>2737530</c:v>
                </c:pt>
                <c:pt idx="19">
                  <c:v>2556980</c:v>
                </c:pt>
                <c:pt idx="20">
                  <c:v>2390220</c:v>
                </c:pt>
                <c:pt idx="21">
                  <c:v>2236030</c:v>
                </c:pt>
                <c:pt idx="22">
                  <c:v>2093330</c:v>
                </c:pt>
                <c:pt idx="23">
                  <c:v>1961130</c:v>
                </c:pt>
                <c:pt idx="24">
                  <c:v>1838540</c:v>
                </c:pt>
                <c:pt idx="25">
                  <c:v>1724780</c:v>
                </c:pt>
                <c:pt idx="26">
                  <c:v>1619100</c:v>
                </c:pt>
                <c:pt idx="27">
                  <c:v>1520850</c:v>
                </c:pt>
                <c:pt idx="28">
                  <c:v>1429440</c:v>
                </c:pt>
                <c:pt idx="29">
                  <c:v>1344320</c:v>
                </c:pt>
                <c:pt idx="30">
                  <c:v>1265000</c:v>
                </c:pt>
                <c:pt idx="31">
                  <c:v>1191020</c:v>
                </c:pt>
                <c:pt idx="32">
                  <c:v>1121980</c:v>
                </c:pt>
                <c:pt idx="33">
                  <c:v>1057500</c:v>
                </c:pt>
                <c:pt idx="34">
                  <c:v>997241</c:v>
                </c:pt>
                <c:pt idx="35">
                  <c:v>940885</c:v>
                </c:pt>
                <c:pt idx="36">
                  <c:v>888148</c:v>
                </c:pt>
                <c:pt idx="37">
                  <c:v>838764</c:v>
                </c:pt>
                <c:pt idx="38">
                  <c:v>792494</c:v>
                </c:pt>
                <c:pt idx="39">
                  <c:v>749115</c:v>
                </c:pt>
                <c:pt idx="40">
                  <c:v>708422</c:v>
                </c:pt>
                <c:pt idx="41">
                  <c:v>670228</c:v>
                </c:pt>
                <c:pt idx="42">
                  <c:v>634359</c:v>
                </c:pt>
                <c:pt idx="43">
                  <c:v>600657</c:v>
                </c:pt>
                <c:pt idx="44">
                  <c:v>568973</c:v>
                </c:pt>
                <c:pt idx="45">
                  <c:v>539171</c:v>
                </c:pt>
                <c:pt idx="46">
                  <c:v>511127</c:v>
                </c:pt>
                <c:pt idx="47">
                  <c:v>484723</c:v>
                </c:pt>
                <c:pt idx="48">
                  <c:v>459851</c:v>
                </c:pt>
                <c:pt idx="49">
                  <c:v>436413</c:v>
                </c:pt>
                <c:pt idx="50">
                  <c:v>414316</c:v>
                </c:pt>
                <c:pt idx="51">
                  <c:v>393473</c:v>
                </c:pt>
                <c:pt idx="52">
                  <c:v>373806</c:v>
                </c:pt>
                <c:pt idx="53">
                  <c:v>355239</c:v>
                </c:pt>
                <c:pt idx="54">
                  <c:v>337705</c:v>
                </c:pt>
                <c:pt idx="55">
                  <c:v>321140</c:v>
                </c:pt>
                <c:pt idx="56">
                  <c:v>305482</c:v>
                </c:pt>
                <c:pt idx="57">
                  <c:v>290679</c:v>
                </c:pt>
                <c:pt idx="58">
                  <c:v>276676</c:v>
                </c:pt>
                <c:pt idx="59">
                  <c:v>263427</c:v>
                </c:pt>
                <c:pt idx="60">
                  <c:v>250886</c:v>
                </c:pt>
                <c:pt idx="61">
                  <c:v>239012</c:v>
                </c:pt>
                <c:pt idx="62">
                  <c:v>227764</c:v>
                </c:pt>
                <c:pt idx="63">
                  <c:v>217106</c:v>
                </c:pt>
                <c:pt idx="64">
                  <c:v>207005</c:v>
                </c:pt>
                <c:pt idx="65">
                  <c:v>198530</c:v>
                </c:pt>
                <c:pt idx="66">
                  <c:v>188343</c:v>
                </c:pt>
                <c:pt idx="67">
                  <c:v>179724</c:v>
                </c:pt>
                <c:pt idx="68">
                  <c:v>171545</c:v>
                </c:pt>
                <c:pt idx="69">
                  <c:v>163780</c:v>
                </c:pt>
                <c:pt idx="70">
                  <c:v>156407</c:v>
                </c:pt>
                <c:pt idx="71">
                  <c:v>149403</c:v>
                </c:pt>
                <c:pt idx="72">
                  <c:v>142748</c:v>
                </c:pt>
                <c:pt idx="73">
                  <c:v>136423</c:v>
                </c:pt>
                <c:pt idx="74">
                  <c:v>130410</c:v>
                </c:pt>
                <c:pt idx="75">
                  <c:v>124692</c:v>
                </c:pt>
                <c:pt idx="76">
                  <c:v>119253</c:v>
                </c:pt>
                <c:pt idx="77">
                  <c:v>114078</c:v>
                </c:pt>
                <c:pt idx="78">
                  <c:v>109152</c:v>
                </c:pt>
                <c:pt idx="79">
                  <c:v>104464</c:v>
                </c:pt>
                <c:pt idx="80">
                  <c:v>100000</c:v>
                </c:pt>
                <c:pt idx="81">
                  <c:v>95747</c:v>
                </c:pt>
                <c:pt idx="82">
                  <c:v>91697</c:v>
                </c:pt>
                <c:pt idx="83">
                  <c:v>87837</c:v>
                </c:pt>
                <c:pt idx="84">
                  <c:v>84157</c:v>
                </c:pt>
                <c:pt idx="85">
                  <c:v>80650</c:v>
                </c:pt>
                <c:pt idx="86">
                  <c:v>77305</c:v>
                </c:pt>
                <c:pt idx="87">
                  <c:v>74115</c:v>
                </c:pt>
                <c:pt idx="88">
                  <c:v>71072</c:v>
                </c:pt>
                <c:pt idx="89">
                  <c:v>68167</c:v>
                </c:pt>
                <c:pt idx="90">
                  <c:v>65395</c:v>
                </c:pt>
                <c:pt idx="91">
                  <c:v>62749</c:v>
                </c:pt>
                <c:pt idx="92">
                  <c:v>60222</c:v>
                </c:pt>
                <c:pt idx="93">
                  <c:v>57809</c:v>
                </c:pt>
                <c:pt idx="94">
                  <c:v>55503</c:v>
                </c:pt>
                <c:pt idx="95">
                  <c:v>53300</c:v>
                </c:pt>
                <c:pt idx="96">
                  <c:v>51195</c:v>
                </c:pt>
                <c:pt idx="97">
                  <c:v>49183</c:v>
                </c:pt>
                <c:pt idx="98">
                  <c:v>47259</c:v>
                </c:pt>
                <c:pt idx="99">
                  <c:v>45419</c:v>
                </c:pt>
                <c:pt idx="100">
                  <c:v>43659</c:v>
                </c:pt>
                <c:pt idx="101">
                  <c:v>41975</c:v>
                </c:pt>
                <c:pt idx="102">
                  <c:v>40364</c:v>
                </c:pt>
                <c:pt idx="103">
                  <c:v>38822</c:v>
                </c:pt>
                <c:pt idx="104">
                  <c:v>37346</c:v>
                </c:pt>
                <c:pt idx="105">
                  <c:v>35840</c:v>
                </c:pt>
                <c:pt idx="106">
                  <c:v>34580</c:v>
                </c:pt>
                <c:pt idx="107">
                  <c:v>33284</c:v>
                </c:pt>
                <c:pt idx="108">
                  <c:v>32043</c:v>
                </c:pt>
                <c:pt idx="109">
                  <c:v>30853</c:v>
                </c:pt>
                <c:pt idx="110">
                  <c:v>29713</c:v>
                </c:pt>
                <c:pt idx="111">
                  <c:v>28620</c:v>
                </c:pt>
                <c:pt idx="112">
                  <c:v>27573</c:v>
                </c:pt>
                <c:pt idx="113">
                  <c:v>26568</c:v>
                </c:pt>
                <c:pt idx="114">
                  <c:v>25605</c:v>
                </c:pt>
                <c:pt idx="115">
                  <c:v>24681</c:v>
                </c:pt>
                <c:pt idx="116">
                  <c:v>23794</c:v>
                </c:pt>
                <c:pt idx="117">
                  <c:v>22944</c:v>
                </c:pt>
                <c:pt idx="118">
                  <c:v>22127</c:v>
                </c:pt>
                <c:pt idx="119">
                  <c:v>21344</c:v>
                </c:pt>
                <c:pt idx="120">
                  <c:v>20592</c:v>
                </c:pt>
                <c:pt idx="121">
                  <c:v>19869</c:v>
                </c:pt>
                <c:pt idx="122">
                  <c:v>19175</c:v>
                </c:pt>
                <c:pt idx="123">
                  <c:v>18509</c:v>
                </c:pt>
                <c:pt idx="124">
                  <c:v>17869</c:v>
                </c:pt>
                <c:pt idx="125">
                  <c:v>17253</c:v>
                </c:pt>
                <c:pt idx="126">
                  <c:v>16662</c:v>
                </c:pt>
                <c:pt idx="127">
                  <c:v>16094</c:v>
                </c:pt>
                <c:pt idx="128">
                  <c:v>15548</c:v>
                </c:pt>
                <c:pt idx="129">
                  <c:v>15022</c:v>
                </c:pt>
                <c:pt idx="130">
                  <c:v>14517</c:v>
                </c:pt>
                <c:pt idx="131">
                  <c:v>14031</c:v>
                </c:pt>
                <c:pt idx="132">
                  <c:v>13564</c:v>
                </c:pt>
                <c:pt idx="133">
                  <c:v>13114</c:v>
                </c:pt>
                <c:pt idx="134">
                  <c:v>12681</c:v>
                </c:pt>
                <c:pt idx="135">
                  <c:v>12265</c:v>
                </c:pt>
                <c:pt idx="136">
                  <c:v>11864</c:v>
                </c:pt>
                <c:pt idx="137">
                  <c:v>11478</c:v>
                </c:pt>
                <c:pt idx="138">
                  <c:v>11106</c:v>
                </c:pt>
                <c:pt idx="139">
                  <c:v>10748</c:v>
                </c:pt>
                <c:pt idx="140">
                  <c:v>10404</c:v>
                </c:pt>
                <c:pt idx="141">
                  <c:v>10071</c:v>
                </c:pt>
                <c:pt idx="142">
                  <c:v>9751</c:v>
                </c:pt>
                <c:pt idx="143">
                  <c:v>9443</c:v>
                </c:pt>
                <c:pt idx="144">
                  <c:v>9146</c:v>
                </c:pt>
                <c:pt idx="145">
                  <c:v>8859</c:v>
                </c:pt>
                <c:pt idx="146">
                  <c:v>8583</c:v>
                </c:pt>
                <c:pt idx="147">
                  <c:v>8316</c:v>
                </c:pt>
                <c:pt idx="148">
                  <c:v>8060</c:v>
                </c:pt>
                <c:pt idx="149">
                  <c:v>7812</c:v>
                </c:pt>
                <c:pt idx="150">
                  <c:v>7573</c:v>
                </c:pt>
                <c:pt idx="151">
                  <c:v>7342</c:v>
                </c:pt>
                <c:pt idx="152">
                  <c:v>7120</c:v>
                </c:pt>
                <c:pt idx="153">
                  <c:v>6905</c:v>
                </c:pt>
                <c:pt idx="154">
                  <c:v>6698</c:v>
                </c:pt>
                <c:pt idx="155">
                  <c:v>6498</c:v>
                </c:pt>
                <c:pt idx="156">
                  <c:v>6304</c:v>
                </c:pt>
                <c:pt idx="157">
                  <c:v>6118</c:v>
                </c:pt>
                <c:pt idx="158">
                  <c:v>5937</c:v>
                </c:pt>
                <c:pt idx="159">
                  <c:v>5763</c:v>
                </c:pt>
                <c:pt idx="160">
                  <c:v>5595</c:v>
                </c:pt>
                <c:pt idx="161">
                  <c:v>5433</c:v>
                </c:pt>
                <c:pt idx="162">
                  <c:v>5276</c:v>
                </c:pt>
                <c:pt idx="163">
                  <c:v>5124</c:v>
                </c:pt>
                <c:pt idx="164">
                  <c:v>4977</c:v>
                </c:pt>
                <c:pt idx="165">
                  <c:v>4836</c:v>
                </c:pt>
                <c:pt idx="166">
                  <c:v>4698</c:v>
                </c:pt>
                <c:pt idx="167">
                  <c:v>4566</c:v>
                </c:pt>
                <c:pt idx="168">
                  <c:v>4438</c:v>
                </c:pt>
                <c:pt idx="169">
                  <c:v>4314</c:v>
                </c:pt>
                <c:pt idx="170">
                  <c:v>4194</c:v>
                </c:pt>
                <c:pt idx="171">
                  <c:v>4077</c:v>
                </c:pt>
                <c:pt idx="172">
                  <c:v>3965</c:v>
                </c:pt>
                <c:pt idx="173">
                  <c:v>3856</c:v>
                </c:pt>
                <c:pt idx="174">
                  <c:v>3751</c:v>
                </c:pt>
                <c:pt idx="175">
                  <c:v>3649</c:v>
                </c:pt>
                <c:pt idx="176">
                  <c:v>3551</c:v>
                </c:pt>
                <c:pt idx="177">
                  <c:v>3455</c:v>
                </c:pt>
                <c:pt idx="178">
                  <c:v>3363</c:v>
                </c:pt>
                <c:pt idx="179">
                  <c:v>3273</c:v>
                </c:pt>
                <c:pt idx="180">
                  <c:v>3186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0A-4AD0-8D85-2873CD4B3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511055"/>
        <c:axId val="595513967"/>
      </c:scatterChart>
      <c:valAx>
        <c:axId val="595511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5513967"/>
        <c:crosses val="autoZero"/>
        <c:crossBetween val="midCat"/>
      </c:valAx>
      <c:valAx>
        <c:axId val="59551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5511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895165236616377E-2"/>
          <c:y val="4.9263414970957861E-2"/>
          <c:w val="0.89113688570503569"/>
          <c:h val="0.9157638273096201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1.6567913542624862E-2"/>
                  <c:y val="-0.268370211072398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hotend!$A$77:$A$182</c:f>
              <c:numCache>
                <c:formatCode>General</c:formatCode>
                <c:ptCount val="106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</c:numCache>
            </c:numRef>
          </c:xVal>
          <c:yVal>
            <c:numRef>
              <c:f>hotend!$C$77:$C$182</c:f>
              <c:numCache>
                <c:formatCode>General</c:formatCode>
                <c:ptCount val="106"/>
                <c:pt idx="0">
                  <c:v>124692</c:v>
                </c:pt>
                <c:pt idx="1">
                  <c:v>119253</c:v>
                </c:pt>
                <c:pt idx="2">
                  <c:v>114078</c:v>
                </c:pt>
                <c:pt idx="3">
                  <c:v>109152</c:v>
                </c:pt>
                <c:pt idx="4">
                  <c:v>104464</c:v>
                </c:pt>
                <c:pt idx="5">
                  <c:v>100000</c:v>
                </c:pt>
                <c:pt idx="6">
                  <c:v>95747</c:v>
                </c:pt>
                <c:pt idx="7">
                  <c:v>91697</c:v>
                </c:pt>
                <c:pt idx="8">
                  <c:v>87837</c:v>
                </c:pt>
                <c:pt idx="9">
                  <c:v>84157</c:v>
                </c:pt>
                <c:pt idx="10">
                  <c:v>80650</c:v>
                </c:pt>
                <c:pt idx="11">
                  <c:v>77305</c:v>
                </c:pt>
                <c:pt idx="12">
                  <c:v>74115</c:v>
                </c:pt>
                <c:pt idx="13">
                  <c:v>71072</c:v>
                </c:pt>
                <c:pt idx="14">
                  <c:v>68167</c:v>
                </c:pt>
                <c:pt idx="15">
                  <c:v>65395</c:v>
                </c:pt>
                <c:pt idx="16">
                  <c:v>62749</c:v>
                </c:pt>
                <c:pt idx="17">
                  <c:v>60222</c:v>
                </c:pt>
                <c:pt idx="18">
                  <c:v>57809</c:v>
                </c:pt>
                <c:pt idx="19">
                  <c:v>55503</c:v>
                </c:pt>
                <c:pt idx="20">
                  <c:v>53300</c:v>
                </c:pt>
                <c:pt idx="21">
                  <c:v>51195</c:v>
                </c:pt>
                <c:pt idx="22">
                  <c:v>49183</c:v>
                </c:pt>
                <c:pt idx="23">
                  <c:v>47259</c:v>
                </c:pt>
                <c:pt idx="24">
                  <c:v>45419</c:v>
                </c:pt>
                <c:pt idx="25">
                  <c:v>43659</c:v>
                </c:pt>
                <c:pt idx="26">
                  <c:v>41975</c:v>
                </c:pt>
                <c:pt idx="27">
                  <c:v>40364</c:v>
                </c:pt>
                <c:pt idx="28">
                  <c:v>38822</c:v>
                </c:pt>
                <c:pt idx="29">
                  <c:v>37346</c:v>
                </c:pt>
                <c:pt idx="30">
                  <c:v>35840</c:v>
                </c:pt>
                <c:pt idx="31">
                  <c:v>34580</c:v>
                </c:pt>
                <c:pt idx="32">
                  <c:v>33284</c:v>
                </c:pt>
                <c:pt idx="33">
                  <c:v>32043</c:v>
                </c:pt>
                <c:pt idx="34">
                  <c:v>30853</c:v>
                </c:pt>
                <c:pt idx="35">
                  <c:v>29713</c:v>
                </c:pt>
                <c:pt idx="36">
                  <c:v>28620</c:v>
                </c:pt>
                <c:pt idx="37">
                  <c:v>27573</c:v>
                </c:pt>
                <c:pt idx="38">
                  <c:v>26568</c:v>
                </c:pt>
                <c:pt idx="39">
                  <c:v>25605</c:v>
                </c:pt>
                <c:pt idx="40">
                  <c:v>24681</c:v>
                </c:pt>
                <c:pt idx="41">
                  <c:v>23794</c:v>
                </c:pt>
                <c:pt idx="42">
                  <c:v>22944</c:v>
                </c:pt>
                <c:pt idx="43">
                  <c:v>22127</c:v>
                </c:pt>
                <c:pt idx="44">
                  <c:v>21344</c:v>
                </c:pt>
                <c:pt idx="45">
                  <c:v>20592</c:v>
                </c:pt>
                <c:pt idx="46">
                  <c:v>19869</c:v>
                </c:pt>
                <c:pt idx="47">
                  <c:v>19175</c:v>
                </c:pt>
                <c:pt idx="48">
                  <c:v>18509</c:v>
                </c:pt>
                <c:pt idx="49">
                  <c:v>17869</c:v>
                </c:pt>
                <c:pt idx="50">
                  <c:v>17253</c:v>
                </c:pt>
                <c:pt idx="51">
                  <c:v>16662</c:v>
                </c:pt>
                <c:pt idx="52">
                  <c:v>16094</c:v>
                </c:pt>
                <c:pt idx="53">
                  <c:v>15548</c:v>
                </c:pt>
                <c:pt idx="54">
                  <c:v>15022</c:v>
                </c:pt>
                <c:pt idx="55">
                  <c:v>14517</c:v>
                </c:pt>
                <c:pt idx="56">
                  <c:v>14031</c:v>
                </c:pt>
                <c:pt idx="57">
                  <c:v>13564</c:v>
                </c:pt>
                <c:pt idx="58">
                  <c:v>13114</c:v>
                </c:pt>
                <c:pt idx="59">
                  <c:v>12681</c:v>
                </c:pt>
                <c:pt idx="60">
                  <c:v>12265</c:v>
                </c:pt>
                <c:pt idx="61">
                  <c:v>11864</c:v>
                </c:pt>
                <c:pt idx="62">
                  <c:v>11478</c:v>
                </c:pt>
                <c:pt idx="63">
                  <c:v>11106</c:v>
                </c:pt>
                <c:pt idx="64">
                  <c:v>10748</c:v>
                </c:pt>
                <c:pt idx="65">
                  <c:v>10404</c:v>
                </c:pt>
                <c:pt idx="66">
                  <c:v>10071</c:v>
                </c:pt>
                <c:pt idx="67">
                  <c:v>9751</c:v>
                </c:pt>
                <c:pt idx="68">
                  <c:v>9443</c:v>
                </c:pt>
                <c:pt idx="69">
                  <c:v>9146</c:v>
                </c:pt>
                <c:pt idx="70">
                  <c:v>8859</c:v>
                </c:pt>
                <c:pt idx="71">
                  <c:v>8583</c:v>
                </c:pt>
                <c:pt idx="72">
                  <c:v>8316</c:v>
                </c:pt>
                <c:pt idx="73">
                  <c:v>8060</c:v>
                </c:pt>
                <c:pt idx="74">
                  <c:v>7812</c:v>
                </c:pt>
                <c:pt idx="75">
                  <c:v>7573</c:v>
                </c:pt>
                <c:pt idx="76">
                  <c:v>7342</c:v>
                </c:pt>
                <c:pt idx="77">
                  <c:v>7120</c:v>
                </c:pt>
                <c:pt idx="78">
                  <c:v>6905</c:v>
                </c:pt>
                <c:pt idx="79">
                  <c:v>6698</c:v>
                </c:pt>
                <c:pt idx="80">
                  <c:v>6498</c:v>
                </c:pt>
                <c:pt idx="81">
                  <c:v>6304</c:v>
                </c:pt>
                <c:pt idx="82">
                  <c:v>6118</c:v>
                </c:pt>
                <c:pt idx="83">
                  <c:v>5937</c:v>
                </c:pt>
                <c:pt idx="84">
                  <c:v>5763</c:v>
                </c:pt>
                <c:pt idx="85">
                  <c:v>5595</c:v>
                </c:pt>
                <c:pt idx="86">
                  <c:v>5433</c:v>
                </c:pt>
                <c:pt idx="87">
                  <c:v>5276</c:v>
                </c:pt>
                <c:pt idx="88">
                  <c:v>5124</c:v>
                </c:pt>
                <c:pt idx="89">
                  <c:v>4977</c:v>
                </c:pt>
                <c:pt idx="90">
                  <c:v>4836</c:v>
                </c:pt>
                <c:pt idx="91">
                  <c:v>4698</c:v>
                </c:pt>
                <c:pt idx="92">
                  <c:v>4566</c:v>
                </c:pt>
                <c:pt idx="93">
                  <c:v>4438</c:v>
                </c:pt>
                <c:pt idx="94">
                  <c:v>4314</c:v>
                </c:pt>
                <c:pt idx="95">
                  <c:v>4194</c:v>
                </c:pt>
                <c:pt idx="96">
                  <c:v>4077</c:v>
                </c:pt>
                <c:pt idx="97">
                  <c:v>3965</c:v>
                </c:pt>
                <c:pt idx="98">
                  <c:v>3856</c:v>
                </c:pt>
                <c:pt idx="99">
                  <c:v>3751</c:v>
                </c:pt>
                <c:pt idx="100">
                  <c:v>3649</c:v>
                </c:pt>
                <c:pt idx="101">
                  <c:v>3551</c:v>
                </c:pt>
                <c:pt idx="102">
                  <c:v>3455</c:v>
                </c:pt>
                <c:pt idx="103">
                  <c:v>3363</c:v>
                </c:pt>
                <c:pt idx="104">
                  <c:v>3273</c:v>
                </c:pt>
                <c:pt idx="105">
                  <c:v>3186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C5-4A06-8E3B-F4B113043EC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hotend!$A$77:$A$182</c:f>
              <c:numCache>
                <c:formatCode>General</c:formatCode>
                <c:ptCount val="106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</c:numCache>
            </c:numRef>
          </c:xVal>
          <c:yVal>
            <c:numRef>
              <c:f>hotend!$D$77:$D$182</c:f>
              <c:numCache>
                <c:formatCode>0.00</c:formatCode>
                <c:ptCount val="106"/>
                <c:pt idx="0">
                  <c:v>20.088734619126285</c:v>
                </c:pt>
                <c:pt idx="1">
                  <c:v>21.07032277618913</c:v>
                </c:pt>
                <c:pt idx="2">
                  <c:v>22.052226056748793</c:v>
                </c:pt>
                <c:pt idx="3">
                  <c:v>23.034644676576249</c:v>
                </c:pt>
                <c:pt idx="4">
                  <c:v>24.017133086077024</c:v>
                </c:pt>
                <c:pt idx="5">
                  <c:v>25</c:v>
                </c:pt>
                <c:pt idx="6">
                  <c:v>25.983551469953341</c:v>
                </c:pt>
                <c:pt idx="7">
                  <c:v>26.967075093719018</c:v>
                </c:pt>
                <c:pt idx="8">
                  <c:v>27.951180306888887</c:v>
                </c:pt>
                <c:pt idx="9">
                  <c:v>28.935941622914186</c:v>
                </c:pt>
                <c:pt idx="10">
                  <c:v>29.920739857198384</c:v>
                </c:pt>
                <c:pt idx="11">
                  <c:v>30.906192897657434</c:v>
                </c:pt>
                <c:pt idx="12">
                  <c:v>31.891932514218013</c:v>
                </c:pt>
                <c:pt idx="13">
                  <c:v>32.877998062713289</c:v>
                </c:pt>
                <c:pt idx="14">
                  <c:v>33.864935450504106</c:v>
                </c:pt>
                <c:pt idx="15">
                  <c:v>34.852085553986399</c:v>
                </c:pt>
                <c:pt idx="16">
                  <c:v>35.839565221231283</c:v>
                </c:pt>
                <c:pt idx="17">
                  <c:v>36.827659906537235</c:v>
                </c:pt>
                <c:pt idx="18">
                  <c:v>37.816013292913794</c:v>
                </c:pt>
                <c:pt idx="19">
                  <c:v>38.805216204047326</c:v>
                </c:pt>
                <c:pt idx="20">
                  <c:v>39.794731475439733</c:v>
                </c:pt>
                <c:pt idx="21">
                  <c:v>40.784531994247686</c:v>
                </c:pt>
                <c:pt idx="22">
                  <c:v>41.774721202762123</c:v>
                </c:pt>
                <c:pt idx="23">
                  <c:v>42.765555847012138</c:v>
                </c:pt>
                <c:pt idx="24">
                  <c:v>43.75691977418461</c:v>
                </c:pt>
                <c:pt idx="25">
                  <c:v>44.748801051425403</c:v>
                </c:pt>
                <c:pt idx="26">
                  <c:v>45.741311174720465</c:v>
                </c:pt>
                <c:pt idx="27">
                  <c:v>46.734075965890725</c:v>
                </c:pt>
                <c:pt idx="28">
                  <c:v>47.727433247044189</c:v>
                </c:pt>
                <c:pt idx="29">
                  <c:v>48.721218038762913</c:v>
                </c:pt>
                <c:pt idx="30">
                  <c:v>49.782339678702158</c:v>
                </c:pt>
                <c:pt idx="31">
                  <c:v>50.70987120882404</c:v>
                </c:pt>
                <c:pt idx="32">
                  <c:v>51.704922351548248</c:v>
                </c:pt>
                <c:pt idx="33">
                  <c:v>52.699985360347966</c:v>
                </c:pt>
                <c:pt idx="34">
                  <c:v>53.696270163887789</c:v>
                </c:pt>
                <c:pt idx="35">
                  <c:v>54.692638310070379</c:v>
                </c:pt>
                <c:pt idx="36">
                  <c:v>55.689718040573837</c:v>
                </c:pt>
                <c:pt idx="37">
                  <c:v>56.686416607546107</c:v>
                </c:pt>
                <c:pt idx="38">
                  <c:v>57.684601188437171</c:v>
                </c:pt>
                <c:pt idx="39">
                  <c:v>58.682345310098185</c:v>
                </c:pt>
                <c:pt idx="40">
                  <c:v>59.680795905046523</c:v>
                </c:pt>
                <c:pt idx="41">
                  <c:v>60.680260576329829</c:v>
                </c:pt>
                <c:pt idx="42">
                  <c:v>61.678800177490643</c:v>
                </c:pt>
                <c:pt idx="43">
                  <c:v>62.679243695348191</c:v>
                </c:pt>
                <c:pt idx="44">
                  <c:v>63.678499313860073</c:v>
                </c:pt>
                <c:pt idx="45">
                  <c:v>64.678468792000274</c:v>
                </c:pt>
                <c:pt idx="46">
                  <c:v>65.680074525321913</c:v>
                </c:pt>
                <c:pt idx="47">
                  <c:v>66.681540197846573</c:v>
                </c:pt>
                <c:pt idx="48">
                  <c:v>67.682411286302568</c:v>
                </c:pt>
                <c:pt idx="49">
                  <c:v>68.68385665361609</c:v>
                </c:pt>
                <c:pt idx="50">
                  <c:v>69.687341744085984</c:v>
                </c:pt>
                <c:pt idx="51">
                  <c:v>70.689471704338246</c:v>
                </c:pt>
                <c:pt idx="52">
                  <c:v>71.691774112301744</c:v>
                </c:pt>
                <c:pt idx="53">
                  <c:v>72.694260530338511</c:v>
                </c:pt>
                <c:pt idx="54">
                  <c:v>73.698984095572769</c:v>
                </c:pt>
                <c:pt idx="55">
                  <c:v>74.702338175141392</c:v>
                </c:pt>
                <c:pt idx="56">
                  <c:v>75.706529295516305</c:v>
                </c:pt>
                <c:pt idx="57">
                  <c:v>76.709837783211867</c:v>
                </c:pt>
                <c:pt idx="58">
                  <c:v>77.7149067943011</c:v>
                </c:pt>
                <c:pt idx="59">
                  <c:v>78.720158655133787</c:v>
                </c:pt>
                <c:pt idx="60">
                  <c:v>79.723836761338532</c:v>
                </c:pt>
                <c:pt idx="61">
                  <c:v>80.729105496754528</c:v>
                </c:pt>
                <c:pt idx="62">
                  <c:v>81.734411814190764</c:v>
                </c:pt>
                <c:pt idx="63">
                  <c:v>82.740786942363172</c:v>
                </c:pt>
                <c:pt idx="64">
                  <c:v>83.746639598599302</c:v>
                </c:pt>
                <c:pt idx="65">
                  <c:v>84.750205648762915</c:v>
                </c:pt>
                <c:pt idx="66">
                  <c:v>85.758796039032063</c:v>
                </c:pt>
                <c:pt idx="67">
                  <c:v>86.764916824498755</c:v>
                </c:pt>
                <c:pt idx="68">
                  <c:v>87.769943674880267</c:v>
                </c:pt>
                <c:pt idx="69">
                  <c:v>88.775560915304709</c:v>
                </c:pt>
                <c:pt idx="70">
                  <c:v>89.783791598987534</c:v>
                </c:pt>
                <c:pt idx="71">
                  <c:v>90.789606580130169</c:v>
                </c:pt>
                <c:pt idx="72">
                  <c:v>91.798828450408791</c:v>
                </c:pt>
                <c:pt idx="73">
                  <c:v>92.802269760667116</c:v>
                </c:pt>
                <c:pt idx="74">
                  <c:v>93.810124864129875</c:v>
                </c:pt>
                <c:pt idx="75">
                  <c:v>94.817046170138326</c:v>
                </c:pt>
                <c:pt idx="76">
                  <c:v>95.825828842539465</c:v>
                </c:pt>
                <c:pt idx="77">
                  <c:v>96.830537430023981</c:v>
                </c:pt>
                <c:pt idx="78">
                  <c:v>97.838752512147494</c:v>
                </c:pt>
                <c:pt idx="79">
                  <c:v>98.844413357057249</c:v>
                </c:pt>
                <c:pt idx="80">
                  <c:v>99.850871892274085</c:v>
                </c:pt>
                <c:pt idx="81">
                  <c:v>100.86204617333544</c:v>
                </c:pt>
                <c:pt idx="82">
                  <c:v>101.86599066145567</c:v>
                </c:pt>
                <c:pt idx="83">
                  <c:v>102.8775300359394</c:v>
                </c:pt>
                <c:pt idx="84">
                  <c:v>103.88426635180645</c:v>
                </c:pt>
                <c:pt idx="85">
                  <c:v>104.89034285554953</c:v>
                </c:pt>
                <c:pt idx="86">
                  <c:v>105.89427842222659</c:v>
                </c:pt>
                <c:pt idx="87">
                  <c:v>106.90097592396586</c:v>
                </c:pt>
                <c:pt idx="88">
                  <c:v>107.90934471941233</c:v>
                </c:pt>
                <c:pt idx="89">
                  <c:v>108.91818140550936</c:v>
                </c:pt>
                <c:pt idx="90">
                  <c:v>109.91894498477046</c:v>
                </c:pt>
                <c:pt idx="91">
                  <c:v>110.93184251310134</c:v>
                </c:pt>
                <c:pt idx="92">
                  <c:v>111.93363979583785</c:v>
                </c:pt>
                <c:pt idx="93">
                  <c:v>112.93781529953299</c:v>
                </c:pt>
                <c:pt idx="94">
                  <c:v>113.94330986879351</c:v>
                </c:pt>
                <c:pt idx="95">
                  <c:v>114.94895931572739</c:v>
                </c:pt>
                <c:pt idx="96">
                  <c:v>115.96229275434263</c:v>
                </c:pt>
                <c:pt idx="97">
                  <c:v>116.96460176688447</c:v>
                </c:pt>
                <c:pt idx="98">
                  <c:v>117.97229000629392</c:v>
                </c:pt>
                <c:pt idx="99">
                  <c:v>118.97493653406025</c:v>
                </c:pt>
                <c:pt idx="100">
                  <c:v>119.98081381980654</c:v>
                </c:pt>
                <c:pt idx="101">
                  <c:v>120.97866390592679</c:v>
                </c:pt>
                <c:pt idx="102">
                  <c:v>121.98784310370496</c:v>
                </c:pt>
                <c:pt idx="103">
                  <c:v>122.98620692733152</c:v>
                </c:pt>
                <c:pt idx="104">
                  <c:v>123.99425422792376</c:v>
                </c:pt>
                <c:pt idx="105">
                  <c:v>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BC5-4A06-8E3B-F4B113043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986607"/>
        <c:axId val="282982287"/>
      </c:scatterChart>
      <c:valAx>
        <c:axId val="282986607"/>
        <c:scaling>
          <c:orientation val="minMax"/>
          <c:max val="16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2982287"/>
        <c:crosses val="autoZero"/>
        <c:crossBetween val="midCat"/>
      </c:valAx>
      <c:valAx>
        <c:axId val="28298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298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46465223097112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2.659330543898009E-2"/>
                  <c:y val="0.143365777194517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hotend!$C$82:$C$182</c:f>
              <c:numCache>
                <c:formatCode>General</c:formatCode>
                <c:ptCount val="101"/>
                <c:pt idx="0">
                  <c:v>100000</c:v>
                </c:pt>
                <c:pt idx="1">
                  <c:v>95747</c:v>
                </c:pt>
                <c:pt idx="2">
                  <c:v>91697</c:v>
                </c:pt>
                <c:pt idx="3">
                  <c:v>87837</c:v>
                </c:pt>
                <c:pt idx="4">
                  <c:v>84157</c:v>
                </c:pt>
                <c:pt idx="5">
                  <c:v>80650</c:v>
                </c:pt>
                <c:pt idx="6">
                  <c:v>77305</c:v>
                </c:pt>
                <c:pt idx="7">
                  <c:v>74115</c:v>
                </c:pt>
                <c:pt idx="8">
                  <c:v>71072</c:v>
                </c:pt>
                <c:pt idx="9">
                  <c:v>68167</c:v>
                </c:pt>
                <c:pt idx="10">
                  <c:v>65395</c:v>
                </c:pt>
                <c:pt idx="11">
                  <c:v>62749</c:v>
                </c:pt>
                <c:pt idx="12">
                  <c:v>60222</c:v>
                </c:pt>
                <c:pt idx="13">
                  <c:v>57809</c:v>
                </c:pt>
                <c:pt idx="14">
                  <c:v>55503</c:v>
                </c:pt>
                <c:pt idx="15">
                  <c:v>53300</c:v>
                </c:pt>
                <c:pt idx="16">
                  <c:v>51195</c:v>
                </c:pt>
                <c:pt idx="17">
                  <c:v>49183</c:v>
                </c:pt>
                <c:pt idx="18">
                  <c:v>47259</c:v>
                </c:pt>
                <c:pt idx="19">
                  <c:v>45419</c:v>
                </c:pt>
                <c:pt idx="20">
                  <c:v>43659</c:v>
                </c:pt>
                <c:pt idx="21">
                  <c:v>41975</c:v>
                </c:pt>
                <c:pt idx="22">
                  <c:v>40364</c:v>
                </c:pt>
                <c:pt idx="23">
                  <c:v>38822</c:v>
                </c:pt>
                <c:pt idx="24">
                  <c:v>37346</c:v>
                </c:pt>
                <c:pt idx="25">
                  <c:v>35840</c:v>
                </c:pt>
                <c:pt idx="26">
                  <c:v>34580</c:v>
                </c:pt>
                <c:pt idx="27">
                  <c:v>33284</c:v>
                </c:pt>
                <c:pt idx="28">
                  <c:v>32043</c:v>
                </c:pt>
                <c:pt idx="29">
                  <c:v>30853</c:v>
                </c:pt>
                <c:pt idx="30">
                  <c:v>29713</c:v>
                </c:pt>
                <c:pt idx="31">
                  <c:v>28620</c:v>
                </c:pt>
                <c:pt idx="32">
                  <c:v>27573</c:v>
                </c:pt>
                <c:pt idx="33">
                  <c:v>26568</c:v>
                </c:pt>
                <c:pt idx="34">
                  <c:v>25605</c:v>
                </c:pt>
                <c:pt idx="35">
                  <c:v>24681</c:v>
                </c:pt>
                <c:pt idx="36">
                  <c:v>23794</c:v>
                </c:pt>
                <c:pt idx="37">
                  <c:v>22944</c:v>
                </c:pt>
                <c:pt idx="38">
                  <c:v>22127</c:v>
                </c:pt>
                <c:pt idx="39">
                  <c:v>21344</c:v>
                </c:pt>
                <c:pt idx="40">
                  <c:v>20592</c:v>
                </c:pt>
                <c:pt idx="41">
                  <c:v>19869</c:v>
                </c:pt>
                <c:pt idx="42">
                  <c:v>19175</c:v>
                </c:pt>
                <c:pt idx="43">
                  <c:v>18509</c:v>
                </c:pt>
                <c:pt idx="44">
                  <c:v>17869</c:v>
                </c:pt>
                <c:pt idx="45">
                  <c:v>17253</c:v>
                </c:pt>
                <c:pt idx="46">
                  <c:v>16662</c:v>
                </c:pt>
                <c:pt idx="47">
                  <c:v>16094</c:v>
                </c:pt>
                <c:pt idx="48">
                  <c:v>15548</c:v>
                </c:pt>
                <c:pt idx="49">
                  <c:v>15022</c:v>
                </c:pt>
                <c:pt idx="50">
                  <c:v>14517</c:v>
                </c:pt>
                <c:pt idx="51">
                  <c:v>14031</c:v>
                </c:pt>
                <c:pt idx="52">
                  <c:v>13564</c:v>
                </c:pt>
                <c:pt idx="53">
                  <c:v>13114</c:v>
                </c:pt>
                <c:pt idx="54">
                  <c:v>12681</c:v>
                </c:pt>
                <c:pt idx="55">
                  <c:v>12265</c:v>
                </c:pt>
                <c:pt idx="56">
                  <c:v>11864</c:v>
                </c:pt>
                <c:pt idx="57">
                  <c:v>11478</c:v>
                </c:pt>
                <c:pt idx="58">
                  <c:v>11106</c:v>
                </c:pt>
                <c:pt idx="59">
                  <c:v>10748</c:v>
                </c:pt>
                <c:pt idx="60">
                  <c:v>10404</c:v>
                </c:pt>
                <c:pt idx="61">
                  <c:v>10071</c:v>
                </c:pt>
                <c:pt idx="62">
                  <c:v>9751</c:v>
                </c:pt>
                <c:pt idx="63">
                  <c:v>9443</c:v>
                </c:pt>
                <c:pt idx="64">
                  <c:v>9146</c:v>
                </c:pt>
                <c:pt idx="65">
                  <c:v>8859</c:v>
                </c:pt>
                <c:pt idx="66">
                  <c:v>8583</c:v>
                </c:pt>
                <c:pt idx="67">
                  <c:v>8316</c:v>
                </c:pt>
                <c:pt idx="68">
                  <c:v>8060</c:v>
                </c:pt>
                <c:pt idx="69">
                  <c:v>7812</c:v>
                </c:pt>
                <c:pt idx="70">
                  <c:v>7573</c:v>
                </c:pt>
                <c:pt idx="71">
                  <c:v>7342</c:v>
                </c:pt>
                <c:pt idx="72">
                  <c:v>7120</c:v>
                </c:pt>
                <c:pt idx="73">
                  <c:v>6905</c:v>
                </c:pt>
                <c:pt idx="74">
                  <c:v>6698</c:v>
                </c:pt>
                <c:pt idx="75">
                  <c:v>6498</c:v>
                </c:pt>
                <c:pt idx="76">
                  <c:v>6304</c:v>
                </c:pt>
                <c:pt idx="77">
                  <c:v>6118</c:v>
                </c:pt>
                <c:pt idx="78">
                  <c:v>5937</c:v>
                </c:pt>
                <c:pt idx="79">
                  <c:v>5763</c:v>
                </c:pt>
                <c:pt idx="80">
                  <c:v>5595</c:v>
                </c:pt>
                <c:pt idx="81">
                  <c:v>5433</c:v>
                </c:pt>
                <c:pt idx="82">
                  <c:v>5276</c:v>
                </c:pt>
                <c:pt idx="83">
                  <c:v>5124</c:v>
                </c:pt>
                <c:pt idx="84">
                  <c:v>4977</c:v>
                </c:pt>
                <c:pt idx="85">
                  <c:v>4836</c:v>
                </c:pt>
                <c:pt idx="86">
                  <c:v>4698</c:v>
                </c:pt>
                <c:pt idx="87">
                  <c:v>4566</c:v>
                </c:pt>
                <c:pt idx="88">
                  <c:v>4438</c:v>
                </c:pt>
                <c:pt idx="89">
                  <c:v>4314</c:v>
                </c:pt>
                <c:pt idx="90">
                  <c:v>4194</c:v>
                </c:pt>
                <c:pt idx="91">
                  <c:v>4077</c:v>
                </c:pt>
                <c:pt idx="92">
                  <c:v>3965</c:v>
                </c:pt>
                <c:pt idx="93">
                  <c:v>3856</c:v>
                </c:pt>
                <c:pt idx="94">
                  <c:v>3751</c:v>
                </c:pt>
                <c:pt idx="95">
                  <c:v>3649</c:v>
                </c:pt>
                <c:pt idx="96">
                  <c:v>3551</c:v>
                </c:pt>
                <c:pt idx="97">
                  <c:v>3455</c:v>
                </c:pt>
                <c:pt idx="98">
                  <c:v>3363</c:v>
                </c:pt>
                <c:pt idx="99">
                  <c:v>3273</c:v>
                </c:pt>
                <c:pt idx="100">
                  <c:v>3186</c:v>
                </c:pt>
              </c:numCache>
            </c:numRef>
          </c:xVal>
          <c:yVal>
            <c:numRef>
              <c:f>hotend!$A$82:$A$182</c:f>
              <c:numCache>
                <c:formatCode>General</c:formatCode>
                <c:ptCount val="10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75</c:v>
                </c:pt>
                <c:pt idx="51">
                  <c:v>76</c:v>
                </c:pt>
                <c:pt idx="52">
                  <c:v>77</c:v>
                </c:pt>
                <c:pt idx="53">
                  <c:v>78</c:v>
                </c:pt>
                <c:pt idx="54">
                  <c:v>79</c:v>
                </c:pt>
                <c:pt idx="55">
                  <c:v>80</c:v>
                </c:pt>
                <c:pt idx="56">
                  <c:v>81</c:v>
                </c:pt>
                <c:pt idx="57">
                  <c:v>82</c:v>
                </c:pt>
                <c:pt idx="58">
                  <c:v>83</c:v>
                </c:pt>
                <c:pt idx="59">
                  <c:v>84</c:v>
                </c:pt>
                <c:pt idx="60">
                  <c:v>85</c:v>
                </c:pt>
                <c:pt idx="61">
                  <c:v>86</c:v>
                </c:pt>
                <c:pt idx="62">
                  <c:v>87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  <c:pt idx="69">
                  <c:v>94</c:v>
                </c:pt>
                <c:pt idx="70">
                  <c:v>95</c:v>
                </c:pt>
                <c:pt idx="71">
                  <c:v>96</c:v>
                </c:pt>
                <c:pt idx="72">
                  <c:v>97</c:v>
                </c:pt>
                <c:pt idx="73">
                  <c:v>98</c:v>
                </c:pt>
                <c:pt idx="74">
                  <c:v>99</c:v>
                </c:pt>
                <c:pt idx="75">
                  <c:v>100</c:v>
                </c:pt>
                <c:pt idx="76">
                  <c:v>101</c:v>
                </c:pt>
                <c:pt idx="77">
                  <c:v>102</c:v>
                </c:pt>
                <c:pt idx="78">
                  <c:v>103</c:v>
                </c:pt>
                <c:pt idx="79">
                  <c:v>104</c:v>
                </c:pt>
                <c:pt idx="80">
                  <c:v>105</c:v>
                </c:pt>
                <c:pt idx="81">
                  <c:v>106</c:v>
                </c:pt>
                <c:pt idx="82">
                  <c:v>107</c:v>
                </c:pt>
                <c:pt idx="83">
                  <c:v>108</c:v>
                </c:pt>
                <c:pt idx="84">
                  <c:v>109</c:v>
                </c:pt>
                <c:pt idx="85">
                  <c:v>110</c:v>
                </c:pt>
                <c:pt idx="86">
                  <c:v>111</c:v>
                </c:pt>
                <c:pt idx="87">
                  <c:v>112</c:v>
                </c:pt>
                <c:pt idx="88">
                  <c:v>113</c:v>
                </c:pt>
                <c:pt idx="89">
                  <c:v>114</c:v>
                </c:pt>
                <c:pt idx="90">
                  <c:v>115</c:v>
                </c:pt>
                <c:pt idx="91">
                  <c:v>116</c:v>
                </c:pt>
                <c:pt idx="92">
                  <c:v>117</c:v>
                </c:pt>
                <c:pt idx="93">
                  <c:v>118</c:v>
                </c:pt>
                <c:pt idx="94">
                  <c:v>119</c:v>
                </c:pt>
                <c:pt idx="95">
                  <c:v>120</c:v>
                </c:pt>
                <c:pt idx="96">
                  <c:v>121</c:v>
                </c:pt>
                <c:pt idx="97">
                  <c:v>122</c:v>
                </c:pt>
                <c:pt idx="98">
                  <c:v>123</c:v>
                </c:pt>
                <c:pt idx="99">
                  <c:v>124</c:v>
                </c:pt>
                <c:pt idx="100">
                  <c:v>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E4-4264-B92F-B5CC3E3FCAE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hotend!$D$82:$D$182</c:f>
              <c:numCache>
                <c:formatCode>0.00</c:formatCode>
                <c:ptCount val="101"/>
                <c:pt idx="0">
                  <c:v>25</c:v>
                </c:pt>
                <c:pt idx="1">
                  <c:v>25.983551469953341</c:v>
                </c:pt>
                <c:pt idx="2">
                  <c:v>26.967075093719018</c:v>
                </c:pt>
                <c:pt idx="3">
                  <c:v>27.951180306888887</c:v>
                </c:pt>
                <c:pt idx="4">
                  <c:v>28.935941622914186</c:v>
                </c:pt>
                <c:pt idx="5">
                  <c:v>29.920739857198384</c:v>
                </c:pt>
                <c:pt idx="6">
                  <c:v>30.906192897657434</c:v>
                </c:pt>
                <c:pt idx="7">
                  <c:v>31.891932514218013</c:v>
                </c:pt>
                <c:pt idx="8">
                  <c:v>32.877998062713289</c:v>
                </c:pt>
                <c:pt idx="9">
                  <c:v>33.864935450504106</c:v>
                </c:pt>
                <c:pt idx="10">
                  <c:v>34.852085553986399</c:v>
                </c:pt>
                <c:pt idx="11">
                  <c:v>35.839565221231283</c:v>
                </c:pt>
                <c:pt idx="12">
                  <c:v>36.827659906537235</c:v>
                </c:pt>
                <c:pt idx="13">
                  <c:v>37.816013292913794</c:v>
                </c:pt>
                <c:pt idx="14">
                  <c:v>38.805216204047326</c:v>
                </c:pt>
                <c:pt idx="15">
                  <c:v>39.794731475439733</c:v>
                </c:pt>
                <c:pt idx="16">
                  <c:v>40.784531994247686</c:v>
                </c:pt>
                <c:pt idx="17">
                  <c:v>41.774721202762123</c:v>
                </c:pt>
                <c:pt idx="18">
                  <c:v>42.765555847012138</c:v>
                </c:pt>
                <c:pt idx="19">
                  <c:v>43.75691977418461</c:v>
                </c:pt>
                <c:pt idx="20">
                  <c:v>44.748801051425403</c:v>
                </c:pt>
                <c:pt idx="21">
                  <c:v>45.741311174720465</c:v>
                </c:pt>
                <c:pt idx="22">
                  <c:v>46.734075965890725</c:v>
                </c:pt>
                <c:pt idx="23">
                  <c:v>47.727433247044189</c:v>
                </c:pt>
                <c:pt idx="24">
                  <c:v>48.721218038762913</c:v>
                </c:pt>
                <c:pt idx="25">
                  <c:v>49.782339678702158</c:v>
                </c:pt>
                <c:pt idx="26">
                  <c:v>50.70987120882404</c:v>
                </c:pt>
                <c:pt idx="27">
                  <c:v>51.704922351548248</c:v>
                </c:pt>
                <c:pt idx="28">
                  <c:v>52.699985360347966</c:v>
                </c:pt>
                <c:pt idx="29">
                  <c:v>53.696270163887789</c:v>
                </c:pt>
                <c:pt idx="30">
                  <c:v>54.692638310070379</c:v>
                </c:pt>
                <c:pt idx="31">
                  <c:v>55.689718040573837</c:v>
                </c:pt>
                <c:pt idx="32">
                  <c:v>56.686416607546107</c:v>
                </c:pt>
                <c:pt idx="33">
                  <c:v>57.684601188437171</c:v>
                </c:pt>
                <c:pt idx="34">
                  <c:v>58.682345310098185</c:v>
                </c:pt>
                <c:pt idx="35">
                  <c:v>59.680795905046523</c:v>
                </c:pt>
                <c:pt idx="36">
                  <c:v>60.680260576329829</c:v>
                </c:pt>
                <c:pt idx="37">
                  <c:v>61.678800177490643</c:v>
                </c:pt>
                <c:pt idx="38">
                  <c:v>62.679243695348191</c:v>
                </c:pt>
                <c:pt idx="39">
                  <c:v>63.678499313860073</c:v>
                </c:pt>
                <c:pt idx="40">
                  <c:v>64.678468792000274</c:v>
                </c:pt>
                <c:pt idx="41">
                  <c:v>65.680074525321913</c:v>
                </c:pt>
                <c:pt idx="42">
                  <c:v>66.681540197846573</c:v>
                </c:pt>
                <c:pt idx="43">
                  <c:v>67.682411286302568</c:v>
                </c:pt>
                <c:pt idx="44">
                  <c:v>68.68385665361609</c:v>
                </c:pt>
                <c:pt idx="45">
                  <c:v>69.687341744085984</c:v>
                </c:pt>
                <c:pt idx="46">
                  <c:v>70.689471704338246</c:v>
                </c:pt>
                <c:pt idx="47">
                  <c:v>71.691774112301744</c:v>
                </c:pt>
                <c:pt idx="48">
                  <c:v>72.694260530338511</c:v>
                </c:pt>
                <c:pt idx="49">
                  <c:v>73.698984095572769</c:v>
                </c:pt>
                <c:pt idx="50">
                  <c:v>74.702338175141392</c:v>
                </c:pt>
                <c:pt idx="51">
                  <c:v>75.706529295516305</c:v>
                </c:pt>
                <c:pt idx="52">
                  <c:v>76.709837783211867</c:v>
                </c:pt>
                <c:pt idx="53">
                  <c:v>77.7149067943011</c:v>
                </c:pt>
                <c:pt idx="54">
                  <c:v>78.720158655133787</c:v>
                </c:pt>
                <c:pt idx="55">
                  <c:v>79.723836761338532</c:v>
                </c:pt>
                <c:pt idx="56">
                  <c:v>80.729105496754528</c:v>
                </c:pt>
                <c:pt idx="57">
                  <c:v>81.734411814190764</c:v>
                </c:pt>
                <c:pt idx="58">
                  <c:v>82.740786942363172</c:v>
                </c:pt>
                <c:pt idx="59">
                  <c:v>83.746639598599302</c:v>
                </c:pt>
                <c:pt idx="60">
                  <c:v>84.750205648762915</c:v>
                </c:pt>
                <c:pt idx="61">
                  <c:v>85.758796039032063</c:v>
                </c:pt>
                <c:pt idx="62">
                  <c:v>86.764916824498755</c:v>
                </c:pt>
                <c:pt idx="63">
                  <c:v>87.769943674880267</c:v>
                </c:pt>
                <c:pt idx="64">
                  <c:v>88.775560915304709</c:v>
                </c:pt>
                <c:pt idx="65">
                  <c:v>89.783791598987534</c:v>
                </c:pt>
                <c:pt idx="66">
                  <c:v>90.789606580130169</c:v>
                </c:pt>
                <c:pt idx="67">
                  <c:v>91.798828450408791</c:v>
                </c:pt>
                <c:pt idx="68">
                  <c:v>92.802269760667116</c:v>
                </c:pt>
                <c:pt idx="69">
                  <c:v>93.810124864129875</c:v>
                </c:pt>
                <c:pt idx="70">
                  <c:v>94.817046170138326</c:v>
                </c:pt>
                <c:pt idx="71">
                  <c:v>95.825828842539465</c:v>
                </c:pt>
                <c:pt idx="72">
                  <c:v>96.830537430023981</c:v>
                </c:pt>
                <c:pt idx="73">
                  <c:v>97.838752512147494</c:v>
                </c:pt>
                <c:pt idx="74">
                  <c:v>98.844413357057249</c:v>
                </c:pt>
                <c:pt idx="75">
                  <c:v>99.850871892274085</c:v>
                </c:pt>
                <c:pt idx="76">
                  <c:v>100.86204617333544</c:v>
                </c:pt>
                <c:pt idx="77">
                  <c:v>101.86599066145567</c:v>
                </c:pt>
                <c:pt idx="78">
                  <c:v>102.8775300359394</c:v>
                </c:pt>
                <c:pt idx="79">
                  <c:v>103.88426635180645</c:v>
                </c:pt>
                <c:pt idx="80">
                  <c:v>104.89034285554953</c:v>
                </c:pt>
                <c:pt idx="81">
                  <c:v>105.89427842222659</c:v>
                </c:pt>
                <c:pt idx="82">
                  <c:v>106.90097592396586</c:v>
                </c:pt>
                <c:pt idx="83">
                  <c:v>107.90934471941233</c:v>
                </c:pt>
                <c:pt idx="84">
                  <c:v>108.91818140550936</c:v>
                </c:pt>
                <c:pt idx="85">
                  <c:v>109.91894498477046</c:v>
                </c:pt>
                <c:pt idx="86">
                  <c:v>110.93184251310134</c:v>
                </c:pt>
                <c:pt idx="87">
                  <c:v>111.93363979583785</c:v>
                </c:pt>
                <c:pt idx="88">
                  <c:v>112.93781529953299</c:v>
                </c:pt>
                <c:pt idx="89">
                  <c:v>113.94330986879351</c:v>
                </c:pt>
                <c:pt idx="90">
                  <c:v>114.94895931572739</c:v>
                </c:pt>
                <c:pt idx="91">
                  <c:v>115.96229275434263</c:v>
                </c:pt>
                <c:pt idx="92">
                  <c:v>116.96460176688447</c:v>
                </c:pt>
                <c:pt idx="93">
                  <c:v>117.97229000629392</c:v>
                </c:pt>
                <c:pt idx="94">
                  <c:v>118.97493653406025</c:v>
                </c:pt>
                <c:pt idx="95">
                  <c:v>119.98081381980654</c:v>
                </c:pt>
                <c:pt idx="96">
                  <c:v>120.97866390592679</c:v>
                </c:pt>
                <c:pt idx="97">
                  <c:v>121.98784310370496</c:v>
                </c:pt>
                <c:pt idx="98">
                  <c:v>122.98620692733152</c:v>
                </c:pt>
                <c:pt idx="99">
                  <c:v>123.99425422792376</c:v>
                </c:pt>
                <c:pt idx="100">
                  <c:v>125</c:v>
                </c:pt>
              </c:numCache>
            </c:numRef>
          </c:xVal>
          <c:yVal>
            <c:numRef>
              <c:f>hotend!$A$82:$A$182</c:f>
              <c:numCache>
                <c:formatCode>General</c:formatCode>
                <c:ptCount val="10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75</c:v>
                </c:pt>
                <c:pt idx="51">
                  <c:v>76</c:v>
                </c:pt>
                <c:pt idx="52">
                  <c:v>77</c:v>
                </c:pt>
                <c:pt idx="53">
                  <c:v>78</c:v>
                </c:pt>
                <c:pt idx="54">
                  <c:v>79</c:v>
                </c:pt>
                <c:pt idx="55">
                  <c:v>80</c:v>
                </c:pt>
                <c:pt idx="56">
                  <c:v>81</c:v>
                </c:pt>
                <c:pt idx="57">
                  <c:v>82</c:v>
                </c:pt>
                <c:pt idx="58">
                  <c:v>83</c:v>
                </c:pt>
                <c:pt idx="59">
                  <c:v>84</c:v>
                </c:pt>
                <c:pt idx="60">
                  <c:v>85</c:v>
                </c:pt>
                <c:pt idx="61">
                  <c:v>86</c:v>
                </c:pt>
                <c:pt idx="62">
                  <c:v>87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  <c:pt idx="69">
                  <c:v>94</c:v>
                </c:pt>
                <c:pt idx="70">
                  <c:v>95</c:v>
                </c:pt>
                <c:pt idx="71">
                  <c:v>96</c:v>
                </c:pt>
                <c:pt idx="72">
                  <c:v>97</c:v>
                </c:pt>
                <c:pt idx="73">
                  <c:v>98</c:v>
                </c:pt>
                <c:pt idx="74">
                  <c:v>99</c:v>
                </c:pt>
                <c:pt idx="75">
                  <c:v>100</c:v>
                </c:pt>
                <c:pt idx="76">
                  <c:v>101</c:v>
                </c:pt>
                <c:pt idx="77">
                  <c:v>102</c:v>
                </c:pt>
                <c:pt idx="78">
                  <c:v>103</c:v>
                </c:pt>
                <c:pt idx="79">
                  <c:v>104</c:v>
                </c:pt>
                <c:pt idx="80">
                  <c:v>105</c:v>
                </c:pt>
                <c:pt idx="81">
                  <c:v>106</c:v>
                </c:pt>
                <c:pt idx="82">
                  <c:v>107</c:v>
                </c:pt>
                <c:pt idx="83">
                  <c:v>108</c:v>
                </c:pt>
                <c:pt idx="84">
                  <c:v>109</c:v>
                </c:pt>
                <c:pt idx="85">
                  <c:v>110</c:v>
                </c:pt>
                <c:pt idx="86">
                  <c:v>111</c:v>
                </c:pt>
                <c:pt idx="87">
                  <c:v>112</c:v>
                </c:pt>
                <c:pt idx="88">
                  <c:v>113</c:v>
                </c:pt>
                <c:pt idx="89">
                  <c:v>114</c:v>
                </c:pt>
                <c:pt idx="90">
                  <c:v>115</c:v>
                </c:pt>
                <c:pt idx="91">
                  <c:v>116</c:v>
                </c:pt>
                <c:pt idx="92">
                  <c:v>117</c:v>
                </c:pt>
                <c:pt idx="93">
                  <c:v>118</c:v>
                </c:pt>
                <c:pt idx="94">
                  <c:v>119</c:v>
                </c:pt>
                <c:pt idx="95">
                  <c:v>120</c:v>
                </c:pt>
                <c:pt idx="96">
                  <c:v>121</c:v>
                </c:pt>
                <c:pt idx="97">
                  <c:v>122</c:v>
                </c:pt>
                <c:pt idx="98">
                  <c:v>123</c:v>
                </c:pt>
                <c:pt idx="99">
                  <c:v>124</c:v>
                </c:pt>
                <c:pt idx="100">
                  <c:v>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CE4-4264-B92F-B5CC3E3FC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099103"/>
        <c:axId val="660088063"/>
      </c:scatterChart>
      <c:valAx>
        <c:axId val="66009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0088063"/>
        <c:crosses val="autoZero"/>
        <c:crossBetween val="midCat"/>
      </c:valAx>
      <c:valAx>
        <c:axId val="66008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0099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5.719772528433946E-2"/>
                  <c:y val="-0.401998760571595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hotend!$B$77:$B$182</c:f>
              <c:numCache>
                <c:formatCode>General</c:formatCode>
                <c:ptCount val="106"/>
                <c:pt idx="0">
                  <c:v>292.14999999999998</c:v>
                </c:pt>
                <c:pt idx="1">
                  <c:v>293.14999999999998</c:v>
                </c:pt>
                <c:pt idx="2">
                  <c:v>294.14999999999998</c:v>
                </c:pt>
                <c:pt idx="3">
                  <c:v>295.14999999999998</c:v>
                </c:pt>
                <c:pt idx="4">
                  <c:v>296.14999999999998</c:v>
                </c:pt>
                <c:pt idx="5">
                  <c:v>297.14999999999998</c:v>
                </c:pt>
                <c:pt idx="6">
                  <c:v>298.14999999999998</c:v>
                </c:pt>
                <c:pt idx="7">
                  <c:v>299.14999999999998</c:v>
                </c:pt>
                <c:pt idx="8">
                  <c:v>300.14999999999998</c:v>
                </c:pt>
                <c:pt idx="9">
                  <c:v>301.14999999999998</c:v>
                </c:pt>
                <c:pt idx="10">
                  <c:v>302.14999999999998</c:v>
                </c:pt>
                <c:pt idx="11">
                  <c:v>303.14999999999998</c:v>
                </c:pt>
                <c:pt idx="12">
                  <c:v>304.14999999999998</c:v>
                </c:pt>
                <c:pt idx="13">
                  <c:v>305.14999999999998</c:v>
                </c:pt>
                <c:pt idx="14">
                  <c:v>306.14999999999998</c:v>
                </c:pt>
                <c:pt idx="15">
                  <c:v>307.14999999999998</c:v>
                </c:pt>
                <c:pt idx="16">
                  <c:v>308.14999999999998</c:v>
                </c:pt>
                <c:pt idx="17">
                  <c:v>309.14999999999998</c:v>
                </c:pt>
                <c:pt idx="18">
                  <c:v>310.14999999999998</c:v>
                </c:pt>
                <c:pt idx="19">
                  <c:v>311.14999999999998</c:v>
                </c:pt>
                <c:pt idx="20">
                  <c:v>312.14999999999998</c:v>
                </c:pt>
                <c:pt idx="21">
                  <c:v>313.14999999999998</c:v>
                </c:pt>
                <c:pt idx="22">
                  <c:v>314.14999999999998</c:v>
                </c:pt>
                <c:pt idx="23">
                  <c:v>315.14999999999998</c:v>
                </c:pt>
                <c:pt idx="24">
                  <c:v>316.14999999999998</c:v>
                </c:pt>
                <c:pt idx="25">
                  <c:v>317.14999999999998</c:v>
                </c:pt>
                <c:pt idx="26">
                  <c:v>318.14999999999998</c:v>
                </c:pt>
                <c:pt idx="27">
                  <c:v>319.14999999999998</c:v>
                </c:pt>
                <c:pt idx="28">
                  <c:v>320.14999999999998</c:v>
                </c:pt>
                <c:pt idx="29">
                  <c:v>321.14999999999998</c:v>
                </c:pt>
                <c:pt idx="30">
                  <c:v>322.14999999999998</c:v>
                </c:pt>
                <c:pt idx="31">
                  <c:v>323.14999999999998</c:v>
                </c:pt>
                <c:pt idx="32">
                  <c:v>324.14999999999998</c:v>
                </c:pt>
                <c:pt idx="33">
                  <c:v>325.14999999999998</c:v>
                </c:pt>
                <c:pt idx="34">
                  <c:v>326.14999999999998</c:v>
                </c:pt>
                <c:pt idx="35">
                  <c:v>327.14999999999998</c:v>
                </c:pt>
                <c:pt idx="36">
                  <c:v>328.15</c:v>
                </c:pt>
                <c:pt idx="37">
                  <c:v>329.15</c:v>
                </c:pt>
                <c:pt idx="38">
                  <c:v>330.15</c:v>
                </c:pt>
                <c:pt idx="39">
                  <c:v>331.15</c:v>
                </c:pt>
                <c:pt idx="40">
                  <c:v>332.15</c:v>
                </c:pt>
                <c:pt idx="41">
                  <c:v>333.15</c:v>
                </c:pt>
                <c:pt idx="42">
                  <c:v>334.15</c:v>
                </c:pt>
                <c:pt idx="43">
                  <c:v>335.15</c:v>
                </c:pt>
                <c:pt idx="44">
                  <c:v>336.15</c:v>
                </c:pt>
                <c:pt idx="45">
                  <c:v>337.15</c:v>
                </c:pt>
                <c:pt idx="46">
                  <c:v>338.15</c:v>
                </c:pt>
                <c:pt idx="47">
                  <c:v>339.15</c:v>
                </c:pt>
                <c:pt idx="48">
                  <c:v>340.15</c:v>
                </c:pt>
                <c:pt idx="49">
                  <c:v>341.15</c:v>
                </c:pt>
                <c:pt idx="50">
                  <c:v>342.15</c:v>
                </c:pt>
                <c:pt idx="51">
                  <c:v>343.15</c:v>
                </c:pt>
                <c:pt idx="52">
                  <c:v>344.15</c:v>
                </c:pt>
                <c:pt idx="53">
                  <c:v>345.15</c:v>
                </c:pt>
                <c:pt idx="54">
                  <c:v>346.15</c:v>
                </c:pt>
                <c:pt idx="55">
                  <c:v>347.15</c:v>
                </c:pt>
                <c:pt idx="56">
                  <c:v>348.15</c:v>
                </c:pt>
                <c:pt idx="57">
                  <c:v>349.15</c:v>
                </c:pt>
                <c:pt idx="58">
                  <c:v>350.15</c:v>
                </c:pt>
                <c:pt idx="59">
                  <c:v>351.15</c:v>
                </c:pt>
                <c:pt idx="60">
                  <c:v>352.15</c:v>
                </c:pt>
                <c:pt idx="61">
                  <c:v>353.15</c:v>
                </c:pt>
                <c:pt idx="62">
                  <c:v>354.15</c:v>
                </c:pt>
                <c:pt idx="63">
                  <c:v>355.15</c:v>
                </c:pt>
                <c:pt idx="64">
                  <c:v>356.15</c:v>
                </c:pt>
                <c:pt idx="65">
                  <c:v>357.15</c:v>
                </c:pt>
                <c:pt idx="66">
                  <c:v>358.15</c:v>
                </c:pt>
                <c:pt idx="67">
                  <c:v>359.15</c:v>
                </c:pt>
                <c:pt idx="68">
                  <c:v>360.15</c:v>
                </c:pt>
                <c:pt idx="69">
                  <c:v>361.15</c:v>
                </c:pt>
                <c:pt idx="70">
                  <c:v>362.15</c:v>
                </c:pt>
                <c:pt idx="71">
                  <c:v>363.15</c:v>
                </c:pt>
                <c:pt idx="72">
                  <c:v>364.15</c:v>
                </c:pt>
                <c:pt idx="73">
                  <c:v>365.15</c:v>
                </c:pt>
                <c:pt idx="74">
                  <c:v>366.15</c:v>
                </c:pt>
                <c:pt idx="75">
                  <c:v>367.15</c:v>
                </c:pt>
                <c:pt idx="76">
                  <c:v>368.15</c:v>
                </c:pt>
                <c:pt idx="77">
                  <c:v>369.15</c:v>
                </c:pt>
                <c:pt idx="78">
                  <c:v>370.15</c:v>
                </c:pt>
                <c:pt idx="79">
                  <c:v>371.15</c:v>
                </c:pt>
                <c:pt idx="80">
                  <c:v>372.15</c:v>
                </c:pt>
                <c:pt idx="81">
                  <c:v>373.15</c:v>
                </c:pt>
                <c:pt idx="82">
                  <c:v>374.15</c:v>
                </c:pt>
                <c:pt idx="83">
                  <c:v>375.15</c:v>
                </c:pt>
                <c:pt idx="84">
                  <c:v>376.15</c:v>
                </c:pt>
                <c:pt idx="85">
                  <c:v>377.15</c:v>
                </c:pt>
                <c:pt idx="86">
                  <c:v>378.15</c:v>
                </c:pt>
                <c:pt idx="87">
                  <c:v>379.15</c:v>
                </c:pt>
                <c:pt idx="88">
                  <c:v>380.15</c:v>
                </c:pt>
                <c:pt idx="89">
                  <c:v>381.15</c:v>
                </c:pt>
                <c:pt idx="90">
                  <c:v>382.15</c:v>
                </c:pt>
                <c:pt idx="91">
                  <c:v>383.15</c:v>
                </c:pt>
                <c:pt idx="92">
                  <c:v>384.15</c:v>
                </c:pt>
                <c:pt idx="93">
                  <c:v>385.15</c:v>
                </c:pt>
                <c:pt idx="94">
                  <c:v>386.15</c:v>
                </c:pt>
                <c:pt idx="95">
                  <c:v>387.15</c:v>
                </c:pt>
                <c:pt idx="96">
                  <c:v>388.15</c:v>
                </c:pt>
                <c:pt idx="97">
                  <c:v>389.15</c:v>
                </c:pt>
                <c:pt idx="98">
                  <c:v>390.15</c:v>
                </c:pt>
                <c:pt idx="99">
                  <c:v>391.15</c:v>
                </c:pt>
                <c:pt idx="100">
                  <c:v>392.15</c:v>
                </c:pt>
                <c:pt idx="101">
                  <c:v>393.15</c:v>
                </c:pt>
                <c:pt idx="102">
                  <c:v>394.15</c:v>
                </c:pt>
                <c:pt idx="103">
                  <c:v>395.15</c:v>
                </c:pt>
                <c:pt idx="104">
                  <c:v>396.15</c:v>
                </c:pt>
                <c:pt idx="105">
                  <c:v>397.15</c:v>
                </c:pt>
              </c:numCache>
            </c:numRef>
          </c:xVal>
          <c:yVal>
            <c:numRef>
              <c:f>hotend!$C$77:$C$182</c:f>
              <c:numCache>
                <c:formatCode>General</c:formatCode>
                <c:ptCount val="106"/>
                <c:pt idx="0">
                  <c:v>124692</c:v>
                </c:pt>
                <c:pt idx="1">
                  <c:v>119253</c:v>
                </c:pt>
                <c:pt idx="2">
                  <c:v>114078</c:v>
                </c:pt>
                <c:pt idx="3">
                  <c:v>109152</c:v>
                </c:pt>
                <c:pt idx="4">
                  <c:v>104464</c:v>
                </c:pt>
                <c:pt idx="5">
                  <c:v>100000</c:v>
                </c:pt>
                <c:pt idx="6">
                  <c:v>95747</c:v>
                </c:pt>
                <c:pt idx="7">
                  <c:v>91697</c:v>
                </c:pt>
                <c:pt idx="8">
                  <c:v>87837</c:v>
                </c:pt>
                <c:pt idx="9">
                  <c:v>84157</c:v>
                </c:pt>
                <c:pt idx="10">
                  <c:v>80650</c:v>
                </c:pt>
                <c:pt idx="11">
                  <c:v>77305</c:v>
                </c:pt>
                <c:pt idx="12">
                  <c:v>74115</c:v>
                </c:pt>
                <c:pt idx="13">
                  <c:v>71072</c:v>
                </c:pt>
                <c:pt idx="14">
                  <c:v>68167</c:v>
                </c:pt>
                <c:pt idx="15">
                  <c:v>65395</c:v>
                </c:pt>
                <c:pt idx="16">
                  <c:v>62749</c:v>
                </c:pt>
                <c:pt idx="17">
                  <c:v>60222</c:v>
                </c:pt>
                <c:pt idx="18">
                  <c:v>57809</c:v>
                </c:pt>
                <c:pt idx="19">
                  <c:v>55503</c:v>
                </c:pt>
                <c:pt idx="20">
                  <c:v>53300</c:v>
                </c:pt>
                <c:pt idx="21">
                  <c:v>51195</c:v>
                </c:pt>
                <c:pt idx="22">
                  <c:v>49183</c:v>
                </c:pt>
                <c:pt idx="23">
                  <c:v>47259</c:v>
                </c:pt>
                <c:pt idx="24">
                  <c:v>45419</c:v>
                </c:pt>
                <c:pt idx="25">
                  <c:v>43659</c:v>
                </c:pt>
                <c:pt idx="26">
                  <c:v>41975</c:v>
                </c:pt>
                <c:pt idx="27">
                  <c:v>40364</c:v>
                </c:pt>
                <c:pt idx="28">
                  <c:v>38822</c:v>
                </c:pt>
                <c:pt idx="29">
                  <c:v>37346</c:v>
                </c:pt>
                <c:pt idx="30">
                  <c:v>35840</c:v>
                </c:pt>
                <c:pt idx="31">
                  <c:v>34580</c:v>
                </c:pt>
                <c:pt idx="32">
                  <c:v>33284</c:v>
                </c:pt>
                <c:pt idx="33">
                  <c:v>32043</c:v>
                </c:pt>
                <c:pt idx="34">
                  <c:v>30853</c:v>
                </c:pt>
                <c:pt idx="35">
                  <c:v>29713</c:v>
                </c:pt>
                <c:pt idx="36">
                  <c:v>28620</c:v>
                </c:pt>
                <c:pt idx="37">
                  <c:v>27573</c:v>
                </c:pt>
                <c:pt idx="38">
                  <c:v>26568</c:v>
                </c:pt>
                <c:pt idx="39">
                  <c:v>25605</c:v>
                </c:pt>
                <c:pt idx="40">
                  <c:v>24681</c:v>
                </c:pt>
                <c:pt idx="41">
                  <c:v>23794</c:v>
                </c:pt>
                <c:pt idx="42">
                  <c:v>22944</c:v>
                </c:pt>
                <c:pt idx="43">
                  <c:v>22127</c:v>
                </c:pt>
                <c:pt idx="44">
                  <c:v>21344</c:v>
                </c:pt>
                <c:pt idx="45">
                  <c:v>20592</c:v>
                </c:pt>
                <c:pt idx="46">
                  <c:v>19869</c:v>
                </c:pt>
                <c:pt idx="47">
                  <c:v>19175</c:v>
                </c:pt>
                <c:pt idx="48">
                  <c:v>18509</c:v>
                </c:pt>
                <c:pt idx="49">
                  <c:v>17869</c:v>
                </c:pt>
                <c:pt idx="50">
                  <c:v>17253</c:v>
                </c:pt>
                <c:pt idx="51">
                  <c:v>16662</c:v>
                </c:pt>
                <c:pt idx="52">
                  <c:v>16094</c:v>
                </c:pt>
                <c:pt idx="53">
                  <c:v>15548</c:v>
                </c:pt>
                <c:pt idx="54">
                  <c:v>15022</c:v>
                </c:pt>
                <c:pt idx="55">
                  <c:v>14517</c:v>
                </c:pt>
                <c:pt idx="56">
                  <c:v>14031</c:v>
                </c:pt>
                <c:pt idx="57">
                  <c:v>13564</c:v>
                </c:pt>
                <c:pt idx="58">
                  <c:v>13114</c:v>
                </c:pt>
                <c:pt idx="59">
                  <c:v>12681</c:v>
                </c:pt>
                <c:pt idx="60">
                  <c:v>12265</c:v>
                </c:pt>
                <c:pt idx="61">
                  <c:v>11864</c:v>
                </c:pt>
                <c:pt idx="62">
                  <c:v>11478</c:v>
                </c:pt>
                <c:pt idx="63">
                  <c:v>11106</c:v>
                </c:pt>
                <c:pt idx="64">
                  <c:v>10748</c:v>
                </c:pt>
                <c:pt idx="65">
                  <c:v>10404</c:v>
                </c:pt>
                <c:pt idx="66">
                  <c:v>10071</c:v>
                </c:pt>
                <c:pt idx="67">
                  <c:v>9751</c:v>
                </c:pt>
                <c:pt idx="68">
                  <c:v>9443</c:v>
                </c:pt>
                <c:pt idx="69">
                  <c:v>9146</c:v>
                </c:pt>
                <c:pt idx="70">
                  <c:v>8859</c:v>
                </c:pt>
                <c:pt idx="71">
                  <c:v>8583</c:v>
                </c:pt>
                <c:pt idx="72">
                  <c:v>8316</c:v>
                </c:pt>
                <c:pt idx="73">
                  <c:v>8060</c:v>
                </c:pt>
                <c:pt idx="74">
                  <c:v>7812</c:v>
                </c:pt>
                <c:pt idx="75">
                  <c:v>7573</c:v>
                </c:pt>
                <c:pt idx="76">
                  <c:v>7342</c:v>
                </c:pt>
                <c:pt idx="77">
                  <c:v>7120</c:v>
                </c:pt>
                <c:pt idx="78">
                  <c:v>6905</c:v>
                </c:pt>
                <c:pt idx="79">
                  <c:v>6698</c:v>
                </c:pt>
                <c:pt idx="80">
                  <c:v>6498</c:v>
                </c:pt>
                <c:pt idx="81">
                  <c:v>6304</c:v>
                </c:pt>
                <c:pt idx="82">
                  <c:v>6118</c:v>
                </c:pt>
                <c:pt idx="83">
                  <c:v>5937</c:v>
                </c:pt>
                <c:pt idx="84">
                  <c:v>5763</c:v>
                </c:pt>
                <c:pt idx="85">
                  <c:v>5595</c:v>
                </c:pt>
                <c:pt idx="86">
                  <c:v>5433</c:v>
                </c:pt>
                <c:pt idx="87">
                  <c:v>5276</c:v>
                </c:pt>
                <c:pt idx="88">
                  <c:v>5124</c:v>
                </c:pt>
                <c:pt idx="89">
                  <c:v>4977</c:v>
                </c:pt>
                <c:pt idx="90">
                  <c:v>4836</c:v>
                </c:pt>
                <c:pt idx="91">
                  <c:v>4698</c:v>
                </c:pt>
                <c:pt idx="92">
                  <c:v>4566</c:v>
                </c:pt>
                <c:pt idx="93">
                  <c:v>4438</c:v>
                </c:pt>
                <c:pt idx="94">
                  <c:v>4314</c:v>
                </c:pt>
                <c:pt idx="95">
                  <c:v>4194</c:v>
                </c:pt>
                <c:pt idx="96">
                  <c:v>4077</c:v>
                </c:pt>
                <c:pt idx="97">
                  <c:v>3965</c:v>
                </c:pt>
                <c:pt idx="98">
                  <c:v>3856</c:v>
                </c:pt>
                <c:pt idx="99">
                  <c:v>3751</c:v>
                </c:pt>
                <c:pt idx="100">
                  <c:v>3649</c:v>
                </c:pt>
                <c:pt idx="101">
                  <c:v>3551</c:v>
                </c:pt>
                <c:pt idx="102">
                  <c:v>3455</c:v>
                </c:pt>
                <c:pt idx="103">
                  <c:v>3363</c:v>
                </c:pt>
                <c:pt idx="104">
                  <c:v>3273</c:v>
                </c:pt>
                <c:pt idx="105">
                  <c:v>3186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63-4C28-95A3-98108C2D2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779951"/>
        <c:axId val="282974287"/>
      </c:scatterChart>
      <c:valAx>
        <c:axId val="286779951"/>
        <c:scaling>
          <c:orientation val="minMax"/>
          <c:min val="2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2974287"/>
        <c:crosses val="autoZero"/>
        <c:crossBetween val="midCat"/>
      </c:valAx>
      <c:valAx>
        <c:axId val="28297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6779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13855</xdr:colOff>
      <xdr:row>4</xdr:row>
      <xdr:rowOff>122382</xdr:rowOff>
    </xdr:from>
    <xdr:to>
      <xdr:col>10</xdr:col>
      <xdr:colOff>318655</xdr:colOff>
      <xdr:row>19</xdr:row>
      <xdr:rowOff>94673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2A7A9B-457F-E83C-56E7-EE9C7DE69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226336</xdr:colOff>
      <xdr:row>0</xdr:row>
      <xdr:rowOff>93074</xdr:rowOff>
    </xdr:from>
    <xdr:to>
      <xdr:col>17</xdr:col>
      <xdr:colOff>124559</xdr:colOff>
      <xdr:row>18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7A9A71-D937-47C7-8533-EDEFF163DD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485598</xdr:colOff>
      <xdr:row>2</xdr:row>
      <xdr:rowOff>98535</xdr:rowOff>
    </xdr:from>
    <xdr:to>
      <xdr:col>25</xdr:col>
      <xdr:colOff>600101</xdr:colOff>
      <xdr:row>29</xdr:row>
      <xdr:rowOff>110991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957BE3B-443A-F592-CF6B-E041E96581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525519</xdr:colOff>
      <xdr:row>30</xdr:row>
      <xdr:rowOff>185245</xdr:rowOff>
    </xdr:from>
    <xdr:to>
      <xdr:col>13</xdr:col>
      <xdr:colOff>6570</xdr:colOff>
      <xdr:row>45</xdr:row>
      <xdr:rowOff>70945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4E68FF9A-B35F-315D-5168-2292B20BD1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295605</xdr:colOff>
      <xdr:row>127</xdr:row>
      <xdr:rowOff>14454</xdr:rowOff>
    </xdr:from>
    <xdr:to>
      <xdr:col>12</xdr:col>
      <xdr:colOff>183932</xdr:colOff>
      <xdr:row>141</xdr:row>
      <xdr:rowOff>90654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E210EBC9-E9B1-4C7C-55A5-9E94C999C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8545-475F-4030-AD2E-FDC4938097DA}">
  <dimension ref="A1:L30"/>
  <sheetViews>
    <sheetView zoomScale="130" zoomScaleNormal="130" workbookViewId="0">
      <selection activeCell="D27" sqref="D27"/>
    </sheetView>
  </sheetViews>
  <sheetFormatPr defaultRowHeight="15" x14ac:dyDescent="0.25"/>
  <cols>
    <col min="1" max="1" width="11.5703125" bestFit="1" customWidth="1"/>
    <col min="2" max="2" width="9.71093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-30</v>
      </c>
      <c r="B2">
        <f>181.7/2</f>
        <v>90.85</v>
      </c>
    </row>
    <row r="3" spans="1:3" x14ac:dyDescent="0.25">
      <c r="A3">
        <v>-25</v>
      </c>
      <c r="B3">
        <f>133.3/2</f>
        <v>66.650000000000006</v>
      </c>
    </row>
    <row r="4" spans="1:3" x14ac:dyDescent="0.25">
      <c r="A4">
        <v>-20</v>
      </c>
      <c r="B4">
        <f>98.88/2</f>
        <v>49.44</v>
      </c>
    </row>
    <row r="5" spans="1:3" x14ac:dyDescent="0.25">
      <c r="A5">
        <v>-15</v>
      </c>
      <c r="B5">
        <f>74.1/2</f>
        <v>37.049999999999997</v>
      </c>
    </row>
    <row r="6" spans="1:3" x14ac:dyDescent="0.25">
      <c r="A6">
        <v>-10</v>
      </c>
      <c r="B6">
        <f>56.06/2</f>
        <v>28.03</v>
      </c>
    </row>
    <row r="7" spans="1:3" x14ac:dyDescent="0.25">
      <c r="A7">
        <v>-5</v>
      </c>
      <c r="B7">
        <f>42.8/2</f>
        <v>21.4</v>
      </c>
    </row>
    <row r="8" spans="1:3" x14ac:dyDescent="0.25">
      <c r="A8">
        <v>0</v>
      </c>
      <c r="B8">
        <v>16.48</v>
      </c>
      <c r="C8" t="s">
        <v>3</v>
      </c>
    </row>
    <row r="9" spans="1:3" x14ac:dyDescent="0.25">
      <c r="A9">
        <v>5</v>
      </c>
      <c r="B9">
        <f>25.58/2</f>
        <v>12.79</v>
      </c>
    </row>
    <row r="10" spans="1:3" x14ac:dyDescent="0.25">
      <c r="A10">
        <v>10</v>
      </c>
      <c r="B10">
        <f>20/2</f>
        <v>10</v>
      </c>
    </row>
    <row r="11" spans="1:3" x14ac:dyDescent="0.25">
      <c r="A11">
        <v>15</v>
      </c>
      <c r="B11">
        <f>15.76/2</f>
        <v>7.88</v>
      </c>
    </row>
    <row r="12" spans="1:3" x14ac:dyDescent="0.25">
      <c r="A12">
        <v>20</v>
      </c>
      <c r="B12">
        <f>12.51/2</f>
        <v>6.2549999999999999</v>
      </c>
    </row>
    <row r="13" spans="1:3" x14ac:dyDescent="0.25">
      <c r="A13">
        <v>25</v>
      </c>
      <c r="B13">
        <f>10/2</f>
        <v>5</v>
      </c>
    </row>
    <row r="14" spans="1:3" x14ac:dyDescent="0.25">
      <c r="A14">
        <v>30</v>
      </c>
      <c r="B14">
        <f>8.048/2</f>
        <v>4.024</v>
      </c>
    </row>
    <row r="15" spans="1:3" x14ac:dyDescent="0.25">
      <c r="A15">
        <v>35</v>
      </c>
      <c r="B15">
        <f>6.518/2</f>
        <v>3.2589999999999999</v>
      </c>
    </row>
    <row r="16" spans="1:3" x14ac:dyDescent="0.25">
      <c r="A16">
        <v>40</v>
      </c>
      <c r="B16">
        <f>5.312/2</f>
        <v>2.6560000000000001</v>
      </c>
    </row>
    <row r="17" spans="1:12" x14ac:dyDescent="0.25">
      <c r="A17">
        <v>45</v>
      </c>
      <c r="B17">
        <f>4.354/2</f>
        <v>2.177</v>
      </c>
    </row>
    <row r="18" spans="1:12" x14ac:dyDescent="0.25">
      <c r="A18">
        <v>50</v>
      </c>
      <c r="B18">
        <f>3.588/2</f>
        <v>1.794</v>
      </c>
    </row>
    <row r="19" spans="1:12" x14ac:dyDescent="0.25">
      <c r="A19">
        <v>55</v>
      </c>
      <c r="B19">
        <f>2.974/2</f>
        <v>1.4870000000000001</v>
      </c>
    </row>
    <row r="20" spans="1:12" x14ac:dyDescent="0.25">
      <c r="A20">
        <v>60</v>
      </c>
      <c r="B20">
        <f>2.476/2</f>
        <v>1.238</v>
      </c>
    </row>
    <row r="21" spans="1:12" x14ac:dyDescent="0.25">
      <c r="A21">
        <v>65</v>
      </c>
      <c r="B21">
        <f>2.072/2</f>
        <v>1.036</v>
      </c>
      <c r="D21" t="s">
        <v>7</v>
      </c>
      <c r="E21" t="s">
        <v>8</v>
      </c>
      <c r="F21" t="s">
        <v>9</v>
      </c>
      <c r="G21" t="s">
        <v>10</v>
      </c>
      <c r="H21" t="s">
        <v>11</v>
      </c>
    </row>
    <row r="22" spans="1:12" x14ac:dyDescent="0.25">
      <c r="A22">
        <v>70</v>
      </c>
      <c r="B22">
        <f>1.743/2</f>
        <v>0.87150000000000005</v>
      </c>
      <c r="C22" s="1" t="s">
        <v>4</v>
      </c>
      <c r="D22">
        <f>LN(B2*1000)</f>
        <v>11.416965073824317</v>
      </c>
      <c r="E22">
        <f>1/(A2+272.15)</f>
        <v>4.1296716911005575E-3</v>
      </c>
      <c r="F22">
        <f>(E23-E22)/(D23-D22)</f>
        <v>2.6309746341310184E-4</v>
      </c>
      <c r="G22">
        <f>E22-(G23+D22^2*G24)*D22</f>
        <v>1.283927288469466E-3</v>
      </c>
      <c r="H22">
        <v>1238</v>
      </c>
      <c r="L22">
        <v>3.3</v>
      </c>
    </row>
    <row r="23" spans="1:12" x14ac:dyDescent="0.25">
      <c r="A23">
        <v>75</v>
      </c>
      <c r="B23">
        <f>1.473/2</f>
        <v>0.73650000000000004</v>
      </c>
      <c r="C23" t="s">
        <v>5</v>
      </c>
      <c r="D23">
        <f>LN(B14*1000)</f>
        <v>8.3000317117795746</v>
      </c>
      <c r="E23">
        <f>1/(A14+272.15)</f>
        <v>3.3096144299189145E-3</v>
      </c>
      <c r="F23">
        <f>(E24-E22)/(D24-D22)</f>
        <v>2.5719104648415651E-4</v>
      </c>
      <c r="G23">
        <f>F22-G24*(D22^2+D22*D23+D23^2)</f>
        <v>2.3823098410055601E-4</v>
      </c>
      <c r="L23">
        <f>2^12</f>
        <v>4096</v>
      </c>
    </row>
    <row r="24" spans="1:12" x14ac:dyDescent="0.25">
      <c r="A24">
        <v>80</v>
      </c>
      <c r="B24">
        <f>1.25/2</f>
        <v>0.625</v>
      </c>
      <c r="C24" t="s">
        <v>6</v>
      </c>
      <c r="D24">
        <f>LN(B30*1000)</f>
        <v>5.5345745570076295</v>
      </c>
      <c r="E24">
        <f>1/(A30+272.15)</f>
        <v>2.6167735182519953E-3</v>
      </c>
      <c r="G24">
        <f>((F23-F22)/(D24-D23))*(D22+D23+D24)^-1</f>
        <v>8.4580209686940912E-8</v>
      </c>
    </row>
    <row r="25" spans="1:12" x14ac:dyDescent="0.25">
      <c r="A25">
        <v>85</v>
      </c>
      <c r="B25">
        <f>1.065/2</f>
        <v>0.53249999999999997</v>
      </c>
    </row>
    <row r="26" spans="1:12" x14ac:dyDescent="0.25">
      <c r="A26">
        <v>90</v>
      </c>
      <c r="B26">
        <f>0.911/2</f>
        <v>0.45550000000000002</v>
      </c>
    </row>
    <row r="27" spans="1:12" x14ac:dyDescent="0.25">
      <c r="A27">
        <v>95</v>
      </c>
      <c r="B27">
        <f>0.7824/2</f>
        <v>0.39119999999999999</v>
      </c>
      <c r="D27">
        <f>1/(G22+G23*LN(H22)+G24*LN(H22)^3)-272.15</f>
        <v>59.968321420246639</v>
      </c>
      <c r="E27" t="s">
        <v>12</v>
      </c>
    </row>
    <row r="28" spans="1:12" x14ac:dyDescent="0.25">
      <c r="A28">
        <v>100</v>
      </c>
      <c r="B28">
        <f>0.6744/2</f>
        <v>0.3372</v>
      </c>
    </row>
    <row r="29" spans="1:12" x14ac:dyDescent="0.25">
      <c r="A29">
        <v>105</v>
      </c>
      <c r="B29">
        <f>0.5836/2</f>
        <v>0.2918</v>
      </c>
    </row>
    <row r="30" spans="1:12" x14ac:dyDescent="0.25">
      <c r="A30">
        <v>110</v>
      </c>
      <c r="B30">
        <f>0.5066/2</f>
        <v>0.25330000000000003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B1EC-0E93-40C4-BA77-021297BD0124}">
  <dimension ref="A1:Z182"/>
  <sheetViews>
    <sheetView tabSelected="1" topLeftCell="A160" zoomScale="145" zoomScaleNormal="145" workbookViewId="0">
      <selection activeCell="C183" sqref="C183"/>
    </sheetView>
  </sheetViews>
  <sheetFormatPr defaultRowHeight="15" x14ac:dyDescent="0.25"/>
  <cols>
    <col min="1" max="1" width="11.5703125" bestFit="1" customWidth="1"/>
    <col min="2" max="2" width="11.5703125" customWidth="1"/>
    <col min="3" max="3" width="16.85546875" customWidth="1"/>
    <col min="4" max="4" width="16.85546875" style="4" customWidth="1"/>
    <col min="5" max="7" width="16.85546875" customWidth="1"/>
    <col min="8" max="8" width="9.28515625" customWidth="1"/>
    <col min="9" max="9" width="12.85546875" bestFit="1" customWidth="1"/>
    <col min="12" max="12" width="12.85546875" customWidth="1"/>
    <col min="16" max="16" width="10.5703125" bestFit="1" customWidth="1"/>
    <col min="21" max="21" width="9.7109375" bestFit="1" customWidth="1"/>
    <col min="25" max="25" width="9.7109375" bestFit="1" customWidth="1"/>
  </cols>
  <sheetData>
    <row r="1" spans="1:8" x14ac:dyDescent="0.25">
      <c r="A1" t="s">
        <v>1</v>
      </c>
      <c r="B1" t="s">
        <v>15</v>
      </c>
      <c r="C1" t="s">
        <v>0</v>
      </c>
      <c r="D1" s="4" t="s">
        <v>22</v>
      </c>
      <c r="E1" t="s">
        <v>23</v>
      </c>
      <c r="G1" t="s">
        <v>22</v>
      </c>
      <c r="H1" t="s">
        <v>2</v>
      </c>
    </row>
    <row r="2" spans="1:8" x14ac:dyDescent="0.25">
      <c r="A2">
        <v>-55</v>
      </c>
      <c r="B2">
        <f>A2+272.15</f>
        <v>217.14999999999998</v>
      </c>
      <c r="C2">
        <v>11093800</v>
      </c>
      <c r="D2" s="4">
        <f>1/($L$22+$L$23*LN(C2)+$L$24*LN(C2)^3)-272.15</f>
        <v>-56.995171691527077</v>
      </c>
      <c r="E2" s="4">
        <f>A2-D2</f>
        <v>1.9951716915270765</v>
      </c>
      <c r="F2">
        <f>$P$33*EXP($P$32/B2)</f>
        <v>15009162.607982896</v>
      </c>
    </row>
    <row r="3" spans="1:8" x14ac:dyDescent="0.25">
      <c r="A3">
        <v>-54</v>
      </c>
      <c r="B3">
        <f t="shared" ref="B3:B66" si="0">A3+272.15</f>
        <v>218.14999999999998</v>
      </c>
      <c r="C3">
        <v>10156100</v>
      </c>
      <c r="D3" s="4">
        <f t="shared" ref="D3:D66" si="1">1/($L$22+$L$23*LN(C3)+$L$24*LN(C3)^3)-272.15</f>
        <v>-55.799983483380998</v>
      </c>
      <c r="E3" s="4">
        <f t="shared" ref="E3:E66" si="2">A3-D3</f>
        <v>1.7999834833809985</v>
      </c>
      <c r="F3">
        <f t="shared" ref="F3:F66" si="3">$P$33*EXP($P$32/B3)</f>
        <v>13778637.92853141</v>
      </c>
    </row>
    <row r="4" spans="1:8" x14ac:dyDescent="0.25">
      <c r="A4">
        <v>-53</v>
      </c>
      <c r="B4">
        <f t="shared" si="0"/>
        <v>219.14999999999998</v>
      </c>
      <c r="C4">
        <v>9311690</v>
      </c>
      <c r="D4" s="4">
        <f t="shared" si="1"/>
        <v>-54.615350731075665</v>
      </c>
      <c r="E4" s="4">
        <f t="shared" si="2"/>
        <v>1.6153507310756652</v>
      </c>
      <c r="F4">
        <f t="shared" si="3"/>
        <v>12658876.183951298</v>
      </c>
    </row>
    <row r="5" spans="1:8" x14ac:dyDescent="0.25">
      <c r="A5">
        <v>-52</v>
      </c>
      <c r="B5">
        <f t="shared" si="0"/>
        <v>220.14999999999998</v>
      </c>
      <c r="C5">
        <v>8549810</v>
      </c>
      <c r="D5" s="4">
        <f t="shared" si="1"/>
        <v>-53.440752459017119</v>
      </c>
      <c r="E5" s="4">
        <f t="shared" si="2"/>
        <v>1.4407524590171192</v>
      </c>
      <c r="F5">
        <f t="shared" si="3"/>
        <v>11639074.144817758</v>
      </c>
    </row>
    <row r="6" spans="1:8" x14ac:dyDescent="0.25">
      <c r="A6">
        <v>-51</v>
      </c>
      <c r="B6">
        <f t="shared" si="0"/>
        <v>221.14999999999998</v>
      </c>
      <c r="C6">
        <v>7861200</v>
      </c>
      <c r="D6" s="4">
        <f t="shared" si="1"/>
        <v>-52.275848775738694</v>
      </c>
      <c r="E6" s="4">
        <f t="shared" si="2"/>
        <v>1.2758487757386945</v>
      </c>
      <c r="F6">
        <f t="shared" si="3"/>
        <v>10709559.293940568</v>
      </c>
    </row>
    <row r="7" spans="1:8" x14ac:dyDescent="0.25">
      <c r="A7">
        <v>-50</v>
      </c>
      <c r="B7">
        <f t="shared" si="0"/>
        <v>222.14999999999998</v>
      </c>
      <c r="C7">
        <v>7237730</v>
      </c>
      <c r="D7" s="4">
        <f t="shared" si="1"/>
        <v>-51.120237312198213</v>
      </c>
      <c r="E7" s="4">
        <f t="shared" si="2"/>
        <v>1.1202373121982134</v>
      </c>
      <c r="F7">
        <f t="shared" si="3"/>
        <v>9861663.7811679523</v>
      </c>
    </row>
    <row r="8" spans="1:8" x14ac:dyDescent="0.25">
      <c r="A8">
        <v>-49</v>
      </c>
      <c r="B8">
        <f t="shared" si="0"/>
        <v>223.14999999999998</v>
      </c>
      <c r="C8">
        <v>6672310</v>
      </c>
      <c r="D8" s="4">
        <f t="shared" si="1"/>
        <v>-49.973572895932847</v>
      </c>
      <c r="E8" s="4">
        <f t="shared" si="2"/>
        <v>0.9735728959328469</v>
      </c>
      <c r="F8">
        <f t="shared" si="3"/>
        <v>9087613.2533706054</v>
      </c>
      <c r="H8" t="s">
        <v>3</v>
      </c>
    </row>
    <row r="9" spans="1:8" x14ac:dyDescent="0.25">
      <c r="A9">
        <v>-48</v>
      </c>
      <c r="B9">
        <f t="shared" si="0"/>
        <v>224.14999999999998</v>
      </c>
      <c r="C9">
        <v>6158700</v>
      </c>
      <c r="D9" s="4">
        <f t="shared" si="1"/>
        <v>-48.835475601875459</v>
      </c>
      <c r="E9" s="4">
        <f t="shared" si="2"/>
        <v>0.83547560187545855</v>
      </c>
      <c r="F9">
        <f t="shared" si="3"/>
        <v>8380428.7102851653</v>
      </c>
    </row>
    <row r="10" spans="1:8" x14ac:dyDescent="0.25">
      <c r="A10">
        <v>-47</v>
      </c>
      <c r="B10">
        <f t="shared" si="0"/>
        <v>225.14999999999998</v>
      </c>
      <c r="C10">
        <v>5691440</v>
      </c>
      <c r="D10" s="4">
        <f t="shared" si="1"/>
        <v>-47.705631343917702</v>
      </c>
      <c r="E10" s="4">
        <f t="shared" si="2"/>
        <v>0.70563134391770177</v>
      </c>
      <c r="F10">
        <f t="shared" si="3"/>
        <v>7733839.7780958572</v>
      </c>
    </row>
    <row r="11" spans="1:8" x14ac:dyDescent="0.25">
      <c r="A11">
        <v>-46</v>
      </c>
      <c r="B11">
        <f t="shared" si="0"/>
        <v>226.14999999999998</v>
      </c>
      <c r="C11">
        <v>5265690</v>
      </c>
      <c r="D11" s="4">
        <f t="shared" si="1"/>
        <v>-46.583657124042475</v>
      </c>
      <c r="E11" s="4">
        <f t="shared" si="2"/>
        <v>0.58365712404247461</v>
      </c>
      <c r="F11">
        <f t="shared" si="3"/>
        <v>7142208.0009457385</v>
      </c>
    </row>
    <row r="12" spans="1:8" x14ac:dyDescent="0.25">
      <c r="A12">
        <v>-45</v>
      </c>
      <c r="B12">
        <f t="shared" si="0"/>
        <v>227.14999999999998</v>
      </c>
      <c r="C12">
        <v>4877200</v>
      </c>
      <c r="D12" s="4">
        <f t="shared" si="1"/>
        <v>-45.469231835579791</v>
      </c>
      <c r="E12" s="4">
        <f t="shared" si="2"/>
        <v>0.46923183557979087</v>
      </c>
      <c r="F12">
        <f t="shared" si="3"/>
        <v>6600458.9306683252</v>
      </c>
    </row>
    <row r="13" spans="1:8" x14ac:dyDescent="0.25">
      <c r="A13">
        <v>-44</v>
      </c>
      <c r="B13">
        <f t="shared" si="0"/>
        <v>228.14999999999998</v>
      </c>
      <c r="C13">
        <v>4522230</v>
      </c>
      <c r="D13" s="4">
        <f t="shared" si="1"/>
        <v>-44.362103162130126</v>
      </c>
      <c r="E13" s="4">
        <f t="shared" si="2"/>
        <v>0.36210316213012561</v>
      </c>
      <c r="F13">
        <f t="shared" si="3"/>
        <v>6104021.950898557</v>
      </c>
    </row>
    <row r="14" spans="1:8" x14ac:dyDescent="0.25">
      <c r="A14">
        <v>-43</v>
      </c>
      <c r="B14">
        <f t="shared" si="0"/>
        <v>229.14999999999998</v>
      </c>
      <c r="C14">
        <v>4197420</v>
      </c>
      <c r="D14" s="4">
        <f t="shared" si="1"/>
        <v>-43.261876724687568</v>
      </c>
      <c r="E14" s="4">
        <f t="shared" si="2"/>
        <v>0.26187672468756773</v>
      </c>
      <c r="F14">
        <f t="shared" si="3"/>
        <v>5648776.9067591848</v>
      </c>
    </row>
    <row r="15" spans="1:8" x14ac:dyDescent="0.25">
      <c r="A15">
        <v>-42</v>
      </c>
      <c r="B15">
        <f t="shared" si="0"/>
        <v>230.14999999999998</v>
      </c>
      <c r="C15">
        <v>3899830</v>
      </c>
      <c r="D15" s="4">
        <f t="shared" si="1"/>
        <v>-42.168307984623993</v>
      </c>
      <c r="E15" s="4">
        <f t="shared" si="2"/>
        <v>0.16830798462399343</v>
      </c>
      <c r="F15">
        <f t="shared" si="3"/>
        <v>5231006.7284264928</v>
      </c>
    </row>
    <row r="16" spans="1:8" x14ac:dyDescent="0.25">
      <c r="A16">
        <v>-41</v>
      </c>
      <c r="B16">
        <f t="shared" si="0"/>
        <v>231.14999999999998</v>
      </c>
      <c r="C16">
        <v>3626830</v>
      </c>
      <c r="D16" s="4">
        <f t="shared" si="1"/>
        <v>-41.081106422601067</v>
      </c>
      <c r="E16" s="4">
        <f t="shared" si="2"/>
        <v>8.1106422601067152E-2</v>
      </c>
      <c r="F16">
        <f t="shared" si="3"/>
        <v>4847355.3385393387</v>
      </c>
    </row>
    <row r="17" spans="1:26" x14ac:dyDescent="0.25">
      <c r="A17">
        <v>-40</v>
      </c>
      <c r="B17">
        <f t="shared" si="0"/>
        <v>232.14999999999998</v>
      </c>
      <c r="C17">
        <v>3376080</v>
      </c>
      <c r="D17" s="4">
        <f t="shared" si="1"/>
        <v>-39.999999999999972</v>
      </c>
      <c r="E17" s="4">
        <f t="shared" si="2"/>
        <v>0</v>
      </c>
      <c r="F17">
        <f t="shared" si="3"/>
        <v>4494790.2217553556</v>
      </c>
    </row>
    <row r="18" spans="1:26" x14ac:dyDescent="0.25">
      <c r="A18">
        <v>-39</v>
      </c>
      <c r="B18">
        <f t="shared" si="0"/>
        <v>233.14999999999998</v>
      </c>
      <c r="C18">
        <v>3145490</v>
      </c>
      <c r="D18" s="4">
        <f t="shared" si="1"/>
        <v>-38.924714876687545</v>
      </c>
      <c r="E18" s="4">
        <f t="shared" si="2"/>
        <v>-7.5285123312454516E-2</v>
      </c>
      <c r="F18">
        <f t="shared" si="3"/>
        <v>4170569.1115950276</v>
      </c>
    </row>
    <row r="19" spans="1:26" x14ac:dyDescent="0.25">
      <c r="A19">
        <v>-38</v>
      </c>
      <c r="B19">
        <f t="shared" si="0"/>
        <v>234.14999999999998</v>
      </c>
      <c r="C19">
        <v>2933200</v>
      </c>
      <c r="D19" s="4">
        <f t="shared" si="1"/>
        <v>-37.8550246511453</v>
      </c>
      <c r="E19" s="4">
        <f t="shared" si="2"/>
        <v>-0.14497534885470031</v>
      </c>
      <c r="F19">
        <f t="shared" si="3"/>
        <v>3872210.316613588</v>
      </c>
    </row>
    <row r="20" spans="1:26" x14ac:dyDescent="0.25">
      <c r="A20">
        <v>-37</v>
      </c>
      <c r="B20">
        <f t="shared" si="0"/>
        <v>235.14999999999998</v>
      </c>
      <c r="C20">
        <v>2737530</v>
      </c>
      <c r="D20" s="4">
        <f t="shared" si="1"/>
        <v>-36.790632178732977</v>
      </c>
      <c r="E20" s="4">
        <f t="shared" si="2"/>
        <v>-0.20936782126702269</v>
      </c>
      <c r="F20">
        <f t="shared" si="3"/>
        <v>3597466.2662415127</v>
      </c>
    </row>
    <row r="21" spans="1:26" x14ac:dyDescent="0.25">
      <c r="A21">
        <v>-36</v>
      </c>
      <c r="B21">
        <f t="shared" si="0"/>
        <v>236.14999999999998</v>
      </c>
      <c r="C21">
        <v>2556980</v>
      </c>
      <c r="D21" s="4">
        <f t="shared" si="1"/>
        <v>-35.731275657461111</v>
      </c>
      <c r="E21" s="4">
        <f t="shared" si="2"/>
        <v>-0.26872434253888855</v>
      </c>
      <c r="F21">
        <f t="shared" si="3"/>
        <v>3344299.9074900467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</row>
    <row r="22" spans="1:26" x14ac:dyDescent="0.25">
      <c r="A22">
        <v>-35</v>
      </c>
      <c r="B22">
        <f t="shared" si="0"/>
        <v>237.14999999999998</v>
      </c>
      <c r="C22">
        <v>2390220</v>
      </c>
      <c r="D22" s="4">
        <f t="shared" si="1"/>
        <v>-34.676807749525125</v>
      </c>
      <c r="E22" s="4">
        <f t="shared" si="2"/>
        <v>-0.32319225047487521</v>
      </c>
      <c r="F22">
        <f t="shared" si="3"/>
        <v>3110863.6281218999</v>
      </c>
      <c r="H22" s="1" t="s">
        <v>4</v>
      </c>
      <c r="I22">
        <f>LN(C17)</f>
        <v>15.032225831099687</v>
      </c>
      <c r="J22">
        <f>1/(B17)</f>
        <v>4.3075597673917733E-3</v>
      </c>
      <c r="K22">
        <f>(J23-J22)/(I23-I22)</f>
        <v>2.6773959330088695E-4</v>
      </c>
      <c r="L22">
        <f>J22-(L23+I22^2*L24)*I22</f>
        <v>6.9958239109474624E-4</v>
      </c>
      <c r="M22">
        <f>(3.3/65536)*N22</f>
        <v>1.334381103515625</v>
      </c>
      <c r="N22">
        <v>26500</v>
      </c>
      <c r="P22" t="s">
        <v>13</v>
      </c>
      <c r="Q22">
        <v>3.3</v>
      </c>
    </row>
    <row r="23" spans="1:26" x14ac:dyDescent="0.25">
      <c r="A23">
        <v>-34</v>
      </c>
      <c r="B23">
        <f t="shared" si="0"/>
        <v>238.14999999999998</v>
      </c>
      <c r="C23">
        <v>2236030</v>
      </c>
      <c r="D23" s="4">
        <f t="shared" si="1"/>
        <v>-33.626936456170228</v>
      </c>
      <c r="E23" s="4">
        <f t="shared" si="2"/>
        <v>-0.37306354382977247</v>
      </c>
      <c r="F23">
        <f t="shared" si="3"/>
        <v>2895480.4206921794</v>
      </c>
      <c r="H23" t="s">
        <v>5</v>
      </c>
      <c r="I23">
        <f>LN(C82)</f>
        <v>11.512925464970229</v>
      </c>
      <c r="J23">
        <f>1/(B82)</f>
        <v>3.3653037186606094E-3</v>
      </c>
      <c r="K23">
        <f>(J24-J22)/(I24-I22)</f>
        <v>2.5691866250178674E-4</v>
      </c>
      <c r="L23">
        <f>K22-L24*(I22^2+I22*I23+I23^2)</f>
        <v>2.1951766056716544E-4</v>
      </c>
      <c r="M23">
        <f>M22/((3.3-M22)/M24)</f>
        <v>3190.6445332513576</v>
      </c>
      <c r="P23" t="s">
        <v>14</v>
      </c>
      <c r="Q23">
        <f>2^12</f>
        <v>4096</v>
      </c>
    </row>
    <row r="24" spans="1:26" x14ac:dyDescent="0.25">
      <c r="A24">
        <v>-33</v>
      </c>
      <c r="B24">
        <f t="shared" si="0"/>
        <v>239.14999999999998</v>
      </c>
      <c r="C24">
        <v>2093330</v>
      </c>
      <c r="D24" s="4">
        <f t="shared" si="1"/>
        <v>-32.581505199455847</v>
      </c>
      <c r="E24" s="4">
        <f t="shared" si="2"/>
        <v>-0.41849480054415267</v>
      </c>
      <c r="F24">
        <f t="shared" si="3"/>
        <v>2696627.0358079397</v>
      </c>
      <c r="H24" t="s">
        <v>6</v>
      </c>
      <c r="I24">
        <f>LN(C182)</f>
        <v>8.0665214904699933</v>
      </c>
      <c r="J24">
        <f>1/(B182)</f>
        <v>2.517940324814302E-3</v>
      </c>
      <c r="L24" s="2">
        <f>((K23-K22)/(I24-I23))*(I22+I23+I24)^-1</f>
        <v>9.0714319687163201E-8</v>
      </c>
      <c r="M24">
        <v>4700</v>
      </c>
    </row>
    <row r="25" spans="1:26" x14ac:dyDescent="0.25">
      <c r="A25">
        <v>-32</v>
      </c>
      <c r="B25">
        <f t="shared" si="0"/>
        <v>240.14999999999998</v>
      </c>
      <c r="C25">
        <v>1961130</v>
      </c>
      <c r="D25" s="4">
        <f t="shared" si="1"/>
        <v>-31.540245734129428</v>
      </c>
      <c r="E25" s="4">
        <f t="shared" si="2"/>
        <v>-0.459754265870572</v>
      </c>
      <c r="F25">
        <f t="shared" si="3"/>
        <v>2512918.9026728342</v>
      </c>
    </row>
    <row r="26" spans="1:26" x14ac:dyDescent="0.25">
      <c r="A26">
        <v>-31</v>
      </c>
      <c r="B26">
        <f t="shared" si="0"/>
        <v>241.14999999999998</v>
      </c>
      <c r="C26">
        <v>1838540</v>
      </c>
      <c r="D26" s="4">
        <f t="shared" si="1"/>
        <v>-30.502920498914591</v>
      </c>
      <c r="E26" s="4">
        <f t="shared" si="2"/>
        <v>-0.49707950108540899</v>
      </c>
      <c r="F26">
        <f t="shared" si="3"/>
        <v>2343096.6210247166</v>
      </c>
    </row>
    <row r="27" spans="1:26" x14ac:dyDescent="0.25">
      <c r="A27">
        <v>-30</v>
      </c>
      <c r="B27">
        <f t="shared" si="0"/>
        <v>242.14999999999998</v>
      </c>
      <c r="C27">
        <v>1724780</v>
      </c>
      <c r="D27" s="4">
        <f t="shared" si="1"/>
        <v>-29.469525999088034</v>
      </c>
      <c r="E27" s="4">
        <f t="shared" si="2"/>
        <v>-0.5304740009119655</v>
      </c>
      <c r="F27">
        <f t="shared" si="3"/>
        <v>2186013.8514136295</v>
      </c>
      <c r="I27" s="2">
        <f>1/($L$22+$L$23*LN(M23)+$L$24*LN(M23)^3)-272.15</f>
        <v>124.94549993676225</v>
      </c>
      <c r="J27" t="s">
        <v>12</v>
      </c>
    </row>
    <row r="28" spans="1:26" x14ac:dyDescent="0.25">
      <c r="A28">
        <v>-29</v>
      </c>
      <c r="B28">
        <f t="shared" si="0"/>
        <v>243.14999999999998</v>
      </c>
      <c r="C28">
        <v>1619100</v>
      </c>
      <c r="D28" s="4">
        <f t="shared" si="1"/>
        <v>-28.439660973974526</v>
      </c>
      <c r="E28" s="4">
        <f t="shared" si="2"/>
        <v>-0.56033902602547414</v>
      </c>
      <c r="F28">
        <f t="shared" si="3"/>
        <v>2040626.4508174413</v>
      </c>
    </row>
    <row r="29" spans="1:26" x14ac:dyDescent="0.25">
      <c r="A29">
        <v>-28</v>
      </c>
      <c r="B29">
        <f t="shared" si="0"/>
        <v>244.14999999999998</v>
      </c>
      <c r="C29">
        <v>1520850</v>
      </c>
      <c r="D29" s="4">
        <f t="shared" si="1"/>
        <v>-27.413213365087188</v>
      </c>
      <c r="E29" s="4">
        <f t="shared" si="2"/>
        <v>-0.58678663491281213</v>
      </c>
      <c r="F29">
        <f t="shared" si="3"/>
        <v>1905982.7182069106</v>
      </c>
    </row>
    <row r="30" spans="1:26" x14ac:dyDescent="0.25">
      <c r="A30">
        <v>-27</v>
      </c>
      <c r="B30">
        <f t="shared" si="0"/>
        <v>245.14999999999998</v>
      </c>
      <c r="C30">
        <v>1429440</v>
      </c>
      <c r="D30" s="4">
        <f t="shared" si="1"/>
        <v>-26.390092080610998</v>
      </c>
      <c r="E30" s="4">
        <f t="shared" si="2"/>
        <v>-0.60990791938900202</v>
      </c>
      <c r="F30">
        <f t="shared" si="3"/>
        <v>1781214.6301616379</v>
      </c>
    </row>
    <row r="31" spans="1:26" x14ac:dyDescent="0.25">
      <c r="A31">
        <v>-26</v>
      </c>
      <c r="B31">
        <f t="shared" si="0"/>
        <v>246.14999999999998</v>
      </c>
      <c r="C31">
        <v>1344320</v>
      </c>
      <c r="D31" s="4">
        <f t="shared" si="1"/>
        <v>-25.370057192810265</v>
      </c>
      <c r="E31" s="4">
        <f t="shared" si="2"/>
        <v>-0.62994280718973528</v>
      </c>
      <c r="F31">
        <f t="shared" si="3"/>
        <v>1665529.9602698996</v>
      </c>
      <c r="T31" t="s">
        <v>24</v>
      </c>
      <c r="U31" t="s">
        <v>16</v>
      </c>
      <c r="V31" t="s">
        <v>17</v>
      </c>
      <c r="W31" t="s">
        <v>18</v>
      </c>
      <c r="X31" t="s">
        <v>19</v>
      </c>
      <c r="Y31" t="s">
        <v>20</v>
      </c>
      <c r="Z31" t="s">
        <v>21</v>
      </c>
    </row>
    <row r="32" spans="1:26" x14ac:dyDescent="0.25">
      <c r="A32">
        <v>-25</v>
      </c>
      <c r="B32">
        <f t="shared" si="0"/>
        <v>247.14999999999998</v>
      </c>
      <c r="C32">
        <v>1265000</v>
      </c>
      <c r="D32" s="4">
        <f t="shared" si="1"/>
        <v>-24.35299989629587</v>
      </c>
      <c r="E32" s="4">
        <f t="shared" si="2"/>
        <v>-0.64700010370412997</v>
      </c>
      <c r="F32">
        <f t="shared" si="3"/>
        <v>1558205.1880520841</v>
      </c>
      <c r="O32" t="s">
        <v>25</v>
      </c>
      <c r="P32">
        <f>(B77*B182/(B182-B77))*LN(C77/C182)</f>
        <v>4052.2067946702487</v>
      </c>
      <c r="T32" s="3"/>
      <c r="U32" s="3">
        <v>0</v>
      </c>
      <c r="V32">
        <v>1.26E-2</v>
      </c>
      <c r="W32">
        <v>-2.3576999999999999</v>
      </c>
      <c r="X32">
        <v>229.99</v>
      </c>
      <c r="Y32" s="3">
        <v>-12126</v>
      </c>
      <c r="Z32" s="3">
        <v>291741</v>
      </c>
    </row>
    <row r="33" spans="1:26" x14ac:dyDescent="0.25">
      <c r="A33">
        <v>-24</v>
      </c>
      <c r="B33">
        <f t="shared" si="0"/>
        <v>248.14999999999998</v>
      </c>
      <c r="C33">
        <v>1191020</v>
      </c>
      <c r="D33" s="4">
        <f t="shared" si="1"/>
        <v>-23.338634198976308</v>
      </c>
      <c r="E33" s="4">
        <f t="shared" si="2"/>
        <v>-0.6613658010236918</v>
      </c>
      <c r="F33">
        <f t="shared" si="3"/>
        <v>1458579.1137317973</v>
      </c>
      <c r="O33" t="s">
        <v>26</v>
      </c>
      <c r="P33">
        <f>C77*EXP(-P32/B77)</f>
        <v>0.11804452415745918</v>
      </c>
      <c r="T33" s="3">
        <v>2.05E-7</v>
      </c>
      <c r="U33" s="3">
        <v>-1.15E-4</v>
      </c>
      <c r="V33" s="3">
        <v>2.7400000000000001E-2</v>
      </c>
      <c r="W33">
        <v>-3.61</v>
      </c>
      <c r="X33">
        <v>285</v>
      </c>
      <c r="Y33">
        <v>-13306</v>
      </c>
      <c r="Z33">
        <v>301173</v>
      </c>
    </row>
    <row r="34" spans="1:26" x14ac:dyDescent="0.25">
      <c r="A34">
        <v>-23</v>
      </c>
      <c r="B34">
        <f t="shared" si="0"/>
        <v>249.14999999999998</v>
      </c>
      <c r="C34">
        <v>1121980</v>
      </c>
      <c r="D34" s="4">
        <f t="shared" si="1"/>
        <v>-22.326952028348273</v>
      </c>
      <c r="E34" s="4">
        <f t="shared" si="2"/>
        <v>-0.67304797165172658</v>
      </c>
      <c r="F34">
        <f t="shared" si="3"/>
        <v>1366047.1045167455</v>
      </c>
    </row>
    <row r="35" spans="1:26" x14ac:dyDescent="0.25">
      <c r="A35">
        <v>-22</v>
      </c>
      <c r="B35">
        <f t="shared" si="0"/>
        <v>250.14999999999998</v>
      </c>
      <c r="C35">
        <v>1057500</v>
      </c>
      <c r="D35" s="4">
        <f t="shared" si="1"/>
        <v>-21.317738353516404</v>
      </c>
      <c r="E35" s="4">
        <f t="shared" si="2"/>
        <v>-0.682261646483596</v>
      </c>
      <c r="F35">
        <f t="shared" si="3"/>
        <v>1280055.9062961091</v>
      </c>
    </row>
    <row r="36" spans="1:26" x14ac:dyDescent="0.25">
      <c r="A36">
        <v>-21</v>
      </c>
      <c r="B36">
        <f t="shared" si="0"/>
        <v>251.14999999999998</v>
      </c>
      <c r="C36">
        <v>997241</v>
      </c>
      <c r="D36" s="4">
        <f t="shared" si="1"/>
        <v>-20.31091437067758</v>
      </c>
      <c r="E36" s="4">
        <f t="shared" si="2"/>
        <v>-0.68908562932242035</v>
      </c>
      <c r="F36">
        <f t="shared" si="3"/>
        <v>1200098.9619471871</v>
      </c>
    </row>
    <row r="37" spans="1:26" x14ac:dyDescent="0.25">
      <c r="A37">
        <v>-20</v>
      </c>
      <c r="B37">
        <f t="shared" si="0"/>
        <v>252.14999999999998</v>
      </c>
      <c r="C37">
        <v>940885</v>
      </c>
      <c r="D37" s="4">
        <f t="shared" si="1"/>
        <v>-19.306273552078665</v>
      </c>
      <c r="E37" s="4">
        <f t="shared" si="2"/>
        <v>-0.69372644792133542</v>
      </c>
      <c r="F37">
        <f t="shared" si="3"/>
        <v>1125712.1838870158</v>
      </c>
    </row>
    <row r="38" spans="1:26" x14ac:dyDescent="0.25">
      <c r="A38">
        <v>-19</v>
      </c>
      <c r="B38">
        <f t="shared" si="0"/>
        <v>253.14999999999998</v>
      </c>
      <c r="C38">
        <v>888148</v>
      </c>
      <c r="D38" s="4">
        <f t="shared" si="1"/>
        <v>-18.303744070836444</v>
      </c>
      <c r="E38" s="4">
        <f t="shared" si="2"/>
        <v>-0.69625592916355572</v>
      </c>
      <c r="F38">
        <f t="shared" si="3"/>
        <v>1056470.1342070915</v>
      </c>
    </row>
    <row r="39" spans="1:26" x14ac:dyDescent="0.25">
      <c r="A39">
        <v>-18</v>
      </c>
      <c r="B39">
        <f t="shared" si="0"/>
        <v>254.14999999999998</v>
      </c>
      <c r="C39">
        <v>838764</v>
      </c>
      <c r="D39" s="4">
        <f t="shared" si="1"/>
        <v>-17.303152028944226</v>
      </c>
      <c r="E39" s="4">
        <f t="shared" si="2"/>
        <v>-0.69684797105577445</v>
      </c>
      <c r="F39">
        <f t="shared" si="3"/>
        <v>991982.57078021253</v>
      </c>
    </row>
    <row r="40" spans="1:26" x14ac:dyDescent="0.25">
      <c r="A40">
        <v>-17</v>
      </c>
      <c r="B40">
        <f t="shared" si="0"/>
        <v>255.14999999999998</v>
      </c>
      <c r="C40">
        <v>792494</v>
      </c>
      <c r="D40" s="4">
        <f t="shared" si="1"/>
        <v>-16.304433654415419</v>
      </c>
      <c r="E40" s="4">
        <f t="shared" si="2"/>
        <v>-0.69556634558458086</v>
      </c>
      <c r="F40">
        <f t="shared" si="3"/>
        <v>931891.32220536447</v>
      </c>
    </row>
    <row r="41" spans="1:26" x14ac:dyDescent="0.25">
      <c r="A41">
        <v>-16</v>
      </c>
      <c r="B41">
        <f t="shared" si="0"/>
        <v>256.14999999999998</v>
      </c>
      <c r="C41">
        <v>749115</v>
      </c>
      <c r="D41" s="4">
        <f t="shared" si="1"/>
        <v>-15.307457990221735</v>
      </c>
      <c r="E41" s="4">
        <f t="shared" si="2"/>
        <v>-0.69254200977826486</v>
      </c>
      <c r="F41">
        <f t="shared" si="3"/>
        <v>875867.45842805121</v>
      </c>
    </row>
    <row r="42" spans="1:26" x14ac:dyDescent="0.25">
      <c r="A42">
        <v>-15</v>
      </c>
      <c r="B42">
        <f t="shared" si="0"/>
        <v>257.14999999999998</v>
      </c>
      <c r="C42">
        <v>708422</v>
      </c>
      <c r="D42" s="4">
        <f t="shared" si="1"/>
        <v>-14.312096743906409</v>
      </c>
      <c r="E42" s="4">
        <f t="shared" si="2"/>
        <v>-0.68790325609359115</v>
      </c>
      <c r="F42">
        <f t="shared" si="3"/>
        <v>823608.72739894479</v>
      </c>
    </row>
    <row r="43" spans="1:26" x14ac:dyDescent="0.25">
      <c r="A43">
        <v>-14</v>
      </c>
      <c r="B43">
        <f t="shared" si="0"/>
        <v>258.14999999999998</v>
      </c>
      <c r="C43">
        <v>670228</v>
      </c>
      <c r="D43" s="4">
        <f t="shared" si="1"/>
        <v>-13.31826763781487</v>
      </c>
      <c r="E43" s="4">
        <f t="shared" si="2"/>
        <v>-0.68173236218513011</v>
      </c>
      <c r="F43">
        <f t="shared" si="3"/>
        <v>774837.23126578727</v>
      </c>
    </row>
    <row r="44" spans="1:26" x14ac:dyDescent="0.25">
      <c r="A44">
        <v>-13</v>
      </c>
      <c r="B44">
        <f t="shared" si="0"/>
        <v>259.14999999999998</v>
      </c>
      <c r="C44">
        <v>634359</v>
      </c>
      <c r="D44" s="4">
        <f t="shared" si="1"/>
        <v>-12.325846977004801</v>
      </c>
      <c r="E44" s="4">
        <f t="shared" si="2"/>
        <v>-0.67415302299519908</v>
      </c>
      <c r="F44">
        <f t="shared" si="3"/>
        <v>729297.31837794615</v>
      </c>
    </row>
    <row r="45" spans="1:26" x14ac:dyDescent="0.25">
      <c r="A45">
        <v>-12</v>
      </c>
      <c r="B45">
        <f t="shared" si="0"/>
        <v>260.14999999999998</v>
      </c>
      <c r="C45">
        <v>600657</v>
      </c>
      <c r="D45" s="4">
        <f t="shared" si="1"/>
        <v>-11.334784736858637</v>
      </c>
      <c r="E45" s="4">
        <f t="shared" si="2"/>
        <v>-0.66521526314136281</v>
      </c>
      <c r="F45">
        <f t="shared" si="3"/>
        <v>686753.66986031539</v>
      </c>
    </row>
    <row r="46" spans="1:26" x14ac:dyDescent="0.25">
      <c r="A46">
        <v>-11</v>
      </c>
      <c r="B46">
        <f t="shared" si="0"/>
        <v>261.14999999999998</v>
      </c>
      <c r="C46">
        <v>568973</v>
      </c>
      <c r="D46" s="4">
        <f t="shared" si="1"/>
        <v>-10.344939638285894</v>
      </c>
      <c r="E46" s="4">
        <f t="shared" si="2"/>
        <v>-0.65506036171410642</v>
      </c>
      <c r="F46">
        <f t="shared" si="3"/>
        <v>646989.56171878008</v>
      </c>
    </row>
    <row r="47" spans="1:26" x14ac:dyDescent="0.25">
      <c r="A47">
        <v>-10</v>
      </c>
      <c r="B47">
        <f t="shared" si="0"/>
        <v>262.14999999999998</v>
      </c>
      <c r="C47">
        <v>539171</v>
      </c>
      <c r="D47" s="4">
        <f t="shared" si="1"/>
        <v>-9.3562207626121676</v>
      </c>
      <c r="E47" s="4">
        <f t="shared" si="2"/>
        <v>-0.64377923738783238</v>
      </c>
      <c r="F47">
        <f t="shared" si="3"/>
        <v>609805.28540451464</v>
      </c>
    </row>
    <row r="48" spans="1:26" x14ac:dyDescent="0.25">
      <c r="A48">
        <v>-9</v>
      </c>
      <c r="B48">
        <f t="shared" si="0"/>
        <v>263.14999999999998</v>
      </c>
      <c r="C48">
        <v>511127</v>
      </c>
      <c r="D48" s="4">
        <f t="shared" si="1"/>
        <v>-8.3686025008771594</v>
      </c>
      <c r="E48" s="4">
        <f t="shared" si="2"/>
        <v>-0.6313974991228406</v>
      </c>
      <c r="F48">
        <f t="shared" si="3"/>
        <v>575016.71151630383</v>
      </c>
      <c r="G48" cm="1">
        <f t="array" ref="G48:M48">LINEST(A82:A182,C82:C182^{1,2,3,4,5,6})</f>
        <v>5.1467042084953007E-27</v>
      </c>
      <c r="H48">
        <v>-1.7225323944185151E-21</v>
      </c>
      <c r="I48">
        <v>2.2689691506439236E-16</v>
      </c>
      <c r="J48">
        <v>-1.4998237891890063E-11</v>
      </c>
      <c r="K48">
        <v>5.3067622605489589E-7</v>
      </c>
      <c r="L48">
        <v>-1.0437386007046714E-2</v>
      </c>
      <c r="M48">
        <v>150.47141959514428</v>
      </c>
    </row>
    <row r="49" spans="1:6" x14ac:dyDescent="0.25">
      <c r="A49">
        <v>-8</v>
      </c>
      <c r="B49">
        <f t="shared" si="0"/>
        <v>264.14999999999998</v>
      </c>
      <c r="C49">
        <v>484723</v>
      </c>
      <c r="D49" s="4">
        <f t="shared" si="1"/>
        <v>-7.3819458165632454</v>
      </c>
      <c r="E49" s="4">
        <f t="shared" si="2"/>
        <v>-0.61805418343675456</v>
      </c>
      <c r="F49">
        <f t="shared" si="3"/>
        <v>542453.98288313195</v>
      </c>
    </row>
    <row r="50" spans="1:6" x14ac:dyDescent="0.25">
      <c r="A50">
        <v>-7</v>
      </c>
      <c r="B50">
        <f t="shared" si="0"/>
        <v>265.14999999999998</v>
      </c>
      <c r="C50">
        <v>459851</v>
      </c>
      <c r="D50" s="4">
        <f t="shared" si="1"/>
        <v>-6.396155795954428</v>
      </c>
      <c r="E50" s="4">
        <f t="shared" si="2"/>
        <v>-0.60384420404557204</v>
      </c>
      <c r="F50">
        <f t="shared" si="3"/>
        <v>511960.32466479106</v>
      </c>
    </row>
    <row r="51" spans="1:6" x14ac:dyDescent="0.25">
      <c r="A51">
        <v>-6</v>
      </c>
      <c r="B51">
        <f t="shared" si="0"/>
        <v>266.14999999999998</v>
      </c>
      <c r="C51">
        <v>436413</v>
      </c>
      <c r="D51" s="4">
        <f t="shared" si="1"/>
        <v>-5.4112272008675859</v>
      </c>
      <c r="E51" s="4">
        <f t="shared" si="2"/>
        <v>-0.58877279913241409</v>
      </c>
      <c r="F51">
        <f t="shared" si="3"/>
        <v>483390.96035496728</v>
      </c>
    </row>
    <row r="52" spans="1:6" x14ac:dyDescent="0.25">
      <c r="A52">
        <v>-5</v>
      </c>
      <c r="B52">
        <f t="shared" si="0"/>
        <v>267.14999999999998</v>
      </c>
      <c r="C52">
        <v>414316</v>
      </c>
      <c r="D52" s="4">
        <f t="shared" si="1"/>
        <v>-4.427071305066022</v>
      </c>
      <c r="E52" s="4">
        <f t="shared" si="2"/>
        <v>-0.57292869493397802</v>
      </c>
      <c r="F52">
        <f t="shared" si="3"/>
        <v>456612.123685862</v>
      </c>
    </row>
    <row r="53" spans="1:6" x14ac:dyDescent="0.25">
      <c r="A53">
        <v>-4</v>
      </c>
      <c r="B53">
        <f t="shared" si="0"/>
        <v>268.14999999999998</v>
      </c>
      <c r="C53">
        <v>393473</v>
      </c>
      <c r="D53" s="4">
        <f t="shared" si="1"/>
        <v>-3.4435645650935953</v>
      </c>
      <c r="E53" s="4">
        <f t="shared" si="2"/>
        <v>-0.55643543490640468</v>
      </c>
      <c r="F53">
        <f t="shared" si="3"/>
        <v>431500.15743048192</v>
      </c>
    </row>
    <row r="54" spans="1:6" x14ac:dyDescent="0.25">
      <c r="A54">
        <v>-3</v>
      </c>
      <c r="B54">
        <f t="shared" si="0"/>
        <v>269.14999999999998</v>
      </c>
      <c r="C54">
        <v>373806</v>
      </c>
      <c r="D54" s="4">
        <f t="shared" si="1"/>
        <v>-2.4607200882433631</v>
      </c>
      <c r="E54" s="4">
        <f t="shared" si="2"/>
        <v>-0.53927991175663692</v>
      </c>
      <c r="F54">
        <f t="shared" si="3"/>
        <v>407940.69099134183</v>
      </c>
    </row>
    <row r="55" spans="1:6" x14ac:dyDescent="0.25">
      <c r="A55">
        <v>-2</v>
      </c>
      <c r="B55">
        <f t="shared" si="0"/>
        <v>270.14999999999998</v>
      </c>
      <c r="C55">
        <v>355239</v>
      </c>
      <c r="D55" s="4">
        <f t="shared" si="1"/>
        <v>-1.4783743930610171</v>
      </c>
      <c r="E55" s="4">
        <f t="shared" si="2"/>
        <v>-0.52162560693898286</v>
      </c>
      <c r="F55">
        <f t="shared" si="3"/>
        <v>385827.88946385501</v>
      </c>
    </row>
    <row r="56" spans="1:6" x14ac:dyDescent="0.25">
      <c r="A56">
        <v>-1</v>
      </c>
      <c r="B56">
        <f t="shared" si="0"/>
        <v>271.14999999999998</v>
      </c>
      <c r="C56">
        <v>337705</v>
      </c>
      <c r="D56" s="4">
        <f t="shared" si="1"/>
        <v>-0.49656103889827818</v>
      </c>
      <c r="E56" s="4">
        <f t="shared" si="2"/>
        <v>-0.50343896110172182</v>
      </c>
      <c r="F56">
        <f t="shared" si="3"/>
        <v>365063.76757937117</v>
      </c>
    </row>
    <row r="57" spans="1:6" x14ac:dyDescent="0.25">
      <c r="A57">
        <v>0</v>
      </c>
      <c r="B57">
        <f t="shared" si="0"/>
        <v>272.14999999999998</v>
      </c>
      <c r="C57">
        <v>321140</v>
      </c>
      <c r="D57" s="4">
        <f t="shared" si="1"/>
        <v>0.4847702420497626</v>
      </c>
      <c r="E57" s="4">
        <f t="shared" si="2"/>
        <v>-0.4847702420497626</v>
      </c>
      <c r="F57">
        <f t="shared" si="3"/>
        <v>345557.5625756103</v>
      </c>
    </row>
    <row r="58" spans="1:6" x14ac:dyDescent="0.25">
      <c r="A58">
        <v>1</v>
      </c>
      <c r="B58">
        <f t="shared" si="0"/>
        <v>273.14999999999998</v>
      </c>
      <c r="C58">
        <v>305482</v>
      </c>
      <c r="D58" s="4">
        <f t="shared" si="1"/>
        <v>1.4658225223208774</v>
      </c>
      <c r="E58" s="4">
        <f t="shared" si="2"/>
        <v>-0.4658225223208774</v>
      </c>
      <c r="F58">
        <f t="shared" si="3"/>
        <v>327225.1606191473</v>
      </c>
    </row>
    <row r="59" spans="1:6" x14ac:dyDescent="0.25">
      <c r="A59">
        <v>2</v>
      </c>
      <c r="B59">
        <f t="shared" si="0"/>
        <v>274.14999999999998</v>
      </c>
      <c r="C59">
        <v>290679</v>
      </c>
      <c r="D59" s="4">
        <f t="shared" si="1"/>
        <v>2.446428192214853</v>
      </c>
      <c r="E59" s="4">
        <f t="shared" si="2"/>
        <v>-0.44642819221485297</v>
      </c>
      <c r="F59">
        <f t="shared" si="3"/>
        <v>309988.57192268997</v>
      </c>
    </row>
    <row r="60" spans="1:6" x14ac:dyDescent="0.25">
      <c r="A60">
        <v>3</v>
      </c>
      <c r="B60">
        <f t="shared" si="0"/>
        <v>275.14999999999998</v>
      </c>
      <c r="C60">
        <v>276676</v>
      </c>
      <c r="D60" s="4">
        <f t="shared" si="1"/>
        <v>3.4268524930087665</v>
      </c>
      <c r="E60" s="4">
        <f t="shared" si="2"/>
        <v>-0.42685249300876649</v>
      </c>
      <c r="F60">
        <f t="shared" si="3"/>
        <v>293775.4501654281</v>
      </c>
    </row>
    <row r="61" spans="1:6" x14ac:dyDescent="0.25">
      <c r="A61">
        <v>4</v>
      </c>
      <c r="B61">
        <f t="shared" si="0"/>
        <v>276.14999999999998</v>
      </c>
      <c r="C61">
        <v>263427</v>
      </c>
      <c r="D61" s="4">
        <f t="shared" si="1"/>
        <v>4.4069902432783579</v>
      </c>
      <c r="E61" s="4">
        <f t="shared" si="2"/>
        <v>-0.40699024327835787</v>
      </c>
      <c r="F61">
        <f t="shared" si="3"/>
        <v>278518.65224335185</v>
      </c>
    </row>
    <row r="62" spans="1:6" x14ac:dyDescent="0.25">
      <c r="A62">
        <v>5</v>
      </c>
      <c r="B62">
        <f t="shared" si="0"/>
        <v>277.14999999999998</v>
      </c>
      <c r="C62">
        <v>250886</v>
      </c>
      <c r="D62" s="4">
        <f t="shared" si="1"/>
        <v>5.3869566762382988</v>
      </c>
      <c r="E62" s="4">
        <f t="shared" si="2"/>
        <v>-0.38695667623829877</v>
      </c>
      <c r="F62">
        <f t="shared" si="3"/>
        <v>264155.83475304773</v>
      </c>
    </row>
    <row r="63" spans="1:6" x14ac:dyDescent="0.25">
      <c r="A63">
        <v>6</v>
      </c>
      <c r="B63">
        <f t="shared" si="0"/>
        <v>278.14999999999998</v>
      </c>
      <c r="C63">
        <v>239012</v>
      </c>
      <c r="D63" s="4">
        <f t="shared" si="1"/>
        <v>6.3667108690725058</v>
      </c>
      <c r="E63" s="4">
        <f t="shared" si="2"/>
        <v>-0.36671086907250583</v>
      </c>
      <c r="F63">
        <f t="shared" si="3"/>
        <v>250629.08395151744</v>
      </c>
    </row>
    <row r="64" spans="1:6" x14ac:dyDescent="0.25">
      <c r="A64">
        <v>7</v>
      </c>
      <c r="B64">
        <f t="shared" si="0"/>
        <v>279.14999999999998</v>
      </c>
      <c r="C64">
        <v>227764</v>
      </c>
      <c r="D64" s="4">
        <f t="shared" si="1"/>
        <v>7.3464383954255936</v>
      </c>
      <c r="E64" s="4">
        <f t="shared" si="2"/>
        <v>-0.34643839542559363</v>
      </c>
      <c r="F64">
        <f t="shared" si="3"/>
        <v>237884.57623998591</v>
      </c>
    </row>
    <row r="65" spans="1:6" x14ac:dyDescent="0.25">
      <c r="A65">
        <v>8</v>
      </c>
      <c r="B65">
        <f t="shared" si="0"/>
        <v>280.14999999999998</v>
      </c>
      <c r="C65">
        <v>217106</v>
      </c>
      <c r="D65" s="4">
        <f t="shared" si="1"/>
        <v>8.3261260887290973</v>
      </c>
      <c r="E65" s="4">
        <f t="shared" si="2"/>
        <v>-0.32612608872909732</v>
      </c>
      <c r="F65">
        <f t="shared" si="3"/>
        <v>225872.26649491792</v>
      </c>
    </row>
    <row r="66" spans="1:6" x14ac:dyDescent="0.25">
      <c r="A66">
        <v>9</v>
      </c>
      <c r="B66">
        <f t="shared" si="0"/>
        <v>281.14999999999998</v>
      </c>
      <c r="C66">
        <v>207005</v>
      </c>
      <c r="D66" s="4">
        <f t="shared" si="1"/>
        <v>9.3056839221775931</v>
      </c>
      <c r="E66" s="4">
        <f t="shared" si="2"/>
        <v>-0.3056839221775931</v>
      </c>
      <c r="F66">
        <f t="shared" si="3"/>
        <v>214545.60181770611</v>
      </c>
    </row>
    <row r="67" spans="1:6" x14ac:dyDescent="0.25">
      <c r="A67">
        <v>10</v>
      </c>
      <c r="B67">
        <f t="shared" ref="B67:B130" si="4">A67+272.15</f>
        <v>282.14999999999998</v>
      </c>
      <c r="C67">
        <v>198530</v>
      </c>
      <c r="D67" s="4">
        <f t="shared" ref="D67:D130" si="5">1/($L$22+$L$23*LN(C67)+$L$24*LN(C67)^3)-272.15</f>
        <v>10.16982767269144</v>
      </c>
      <c r="E67" s="4">
        <f t="shared" ref="E67:E130" si="6">A67-D67</f>
        <v>-0.16982767269144006</v>
      </c>
      <c r="F67">
        <f t="shared" ref="F67:F130" si="7">$P$33*EXP($P$32/B67)</f>
        <v>203861.25849850258</v>
      </c>
    </row>
    <row r="68" spans="1:6" x14ac:dyDescent="0.25">
      <c r="A68">
        <v>11</v>
      </c>
      <c r="B68">
        <f t="shared" si="4"/>
        <v>283.14999999999998</v>
      </c>
      <c r="C68">
        <v>188343</v>
      </c>
      <c r="D68" s="4">
        <f t="shared" si="5"/>
        <v>11.264990561593606</v>
      </c>
      <c r="E68" s="4">
        <f t="shared" si="6"/>
        <v>-0.26499056159360634</v>
      </c>
      <c r="F68">
        <f t="shared" si="7"/>
        <v>193778.90019190888</v>
      </c>
    </row>
    <row r="69" spans="1:6" x14ac:dyDescent="0.25">
      <c r="A69">
        <v>12</v>
      </c>
      <c r="B69">
        <f t="shared" si="4"/>
        <v>284.14999999999998</v>
      </c>
      <c r="C69">
        <v>179724</v>
      </c>
      <c r="D69" s="4">
        <f t="shared" si="5"/>
        <v>12.244796014270662</v>
      </c>
      <c r="E69" s="4">
        <f t="shared" si="6"/>
        <v>-0.244796014270662</v>
      </c>
      <c r="F69">
        <f t="shared" si="7"/>
        <v>184260.95548494728</v>
      </c>
    </row>
    <row r="70" spans="1:6" x14ac:dyDescent="0.25">
      <c r="A70">
        <v>13</v>
      </c>
      <c r="B70">
        <f t="shared" si="4"/>
        <v>285.14999999999998</v>
      </c>
      <c r="C70">
        <v>171545</v>
      </c>
      <c r="D70" s="4">
        <f t="shared" si="5"/>
        <v>13.224617094773635</v>
      </c>
      <c r="E70" s="4">
        <f t="shared" si="6"/>
        <v>-0.22461709477363456</v>
      </c>
      <c r="F70">
        <f t="shared" si="7"/>
        <v>175272.41320288469</v>
      </c>
    </row>
    <row r="71" spans="1:6" x14ac:dyDescent="0.25">
      <c r="A71">
        <v>14</v>
      </c>
      <c r="B71">
        <f t="shared" si="4"/>
        <v>286.14999999999998</v>
      </c>
      <c r="C71">
        <v>163780</v>
      </c>
      <c r="D71" s="4">
        <f t="shared" si="5"/>
        <v>14.20463224367461</v>
      </c>
      <c r="E71" s="4">
        <f t="shared" si="6"/>
        <v>-0.20463224367460953</v>
      </c>
      <c r="F71">
        <f t="shared" si="7"/>
        <v>166780.63394783819</v>
      </c>
    </row>
    <row r="72" spans="1:6" x14ac:dyDescent="0.25">
      <c r="A72">
        <v>15</v>
      </c>
      <c r="B72">
        <f t="shared" si="4"/>
        <v>287.14999999999998</v>
      </c>
      <c r="C72">
        <v>156407</v>
      </c>
      <c r="D72" s="4">
        <f t="shared" si="5"/>
        <v>15.184715653290766</v>
      </c>
      <c r="E72" s="4">
        <f t="shared" si="6"/>
        <v>-0.18471565329076611</v>
      </c>
      <c r="F72">
        <f t="shared" si="7"/>
        <v>158755.1765002493</v>
      </c>
    </row>
    <row r="73" spans="1:6" x14ac:dyDescent="0.25">
      <c r="A73">
        <v>16</v>
      </c>
      <c r="B73">
        <f t="shared" si="4"/>
        <v>288.14999999999998</v>
      </c>
      <c r="C73">
        <v>149403</v>
      </c>
      <c r="D73" s="4">
        <f t="shared" si="5"/>
        <v>16.165055630332233</v>
      </c>
      <c r="E73" s="4">
        <f t="shared" si="6"/>
        <v>-0.16505563033223325</v>
      </c>
      <c r="F73">
        <f t="shared" si="7"/>
        <v>151167.63783567765</v>
      </c>
    </row>
    <row r="74" spans="1:6" x14ac:dyDescent="0.25">
      <c r="A74">
        <v>17</v>
      </c>
      <c r="B74">
        <f t="shared" si="4"/>
        <v>289.14999999999998</v>
      </c>
      <c r="C74">
        <v>142748</v>
      </c>
      <c r="D74" s="4">
        <f t="shared" si="5"/>
        <v>17.145622946604192</v>
      </c>
      <c r="E74" s="4">
        <f t="shared" si="6"/>
        <v>-0.14562294660419184</v>
      </c>
      <c r="F74">
        <f t="shared" si="7"/>
        <v>143991.50562021698</v>
      </c>
    </row>
    <row r="75" spans="1:6" x14ac:dyDescent="0.25">
      <c r="A75">
        <v>18</v>
      </c>
      <c r="B75">
        <f t="shared" si="4"/>
        <v>290.14999999999998</v>
      </c>
      <c r="C75">
        <v>136423</v>
      </c>
      <c r="D75" s="4">
        <f t="shared" si="5"/>
        <v>18.126413173438266</v>
      </c>
      <c r="E75" s="4">
        <f t="shared" si="6"/>
        <v>-0.12641317343826586</v>
      </c>
      <c r="F75">
        <f t="shared" si="7"/>
        <v>137202.02214830607</v>
      </c>
    </row>
    <row r="76" spans="1:6" x14ac:dyDescent="0.25">
      <c r="A76">
        <v>19</v>
      </c>
      <c r="B76">
        <f t="shared" si="4"/>
        <v>291.14999999999998</v>
      </c>
      <c r="C76">
        <v>130410</v>
      </c>
      <c r="D76" s="4">
        <f t="shared" si="5"/>
        <v>19.107441339375498</v>
      </c>
      <c r="E76" s="4">
        <f t="shared" si="6"/>
        <v>-0.10744133937549805</v>
      </c>
      <c r="F76">
        <f t="shared" si="7"/>
        <v>130776.05877782134</v>
      </c>
    </row>
    <row r="77" spans="1:6" x14ac:dyDescent="0.25">
      <c r="A77">
        <v>20</v>
      </c>
      <c r="B77">
        <f t="shared" si="4"/>
        <v>292.14999999999998</v>
      </c>
      <c r="C77">
        <v>124692</v>
      </c>
      <c r="D77" s="4">
        <f t="shared" si="5"/>
        <v>20.088734619126285</v>
      </c>
      <c r="E77" s="4">
        <f t="shared" si="6"/>
        <v>-8.8734619126284997E-2</v>
      </c>
      <c r="F77">
        <f t="shared" si="7"/>
        <v>124692</v>
      </c>
    </row>
    <row r="78" spans="1:6" x14ac:dyDescent="0.25">
      <c r="A78">
        <v>21</v>
      </c>
      <c r="B78">
        <f t="shared" si="4"/>
        <v>293.14999999999998</v>
      </c>
      <c r="C78">
        <v>119253</v>
      </c>
      <c r="D78" s="4">
        <f t="shared" si="5"/>
        <v>21.07032277618913</v>
      </c>
      <c r="E78" s="4">
        <f t="shared" si="6"/>
        <v>-7.0322776189129854E-2</v>
      </c>
      <c r="F78">
        <f t="shared" si="7"/>
        <v>118929.63635679701</v>
      </c>
    </row>
    <row r="79" spans="1:6" x14ac:dyDescent="0.25">
      <c r="A79">
        <v>22</v>
      </c>
      <c r="B79">
        <f t="shared" si="4"/>
        <v>294.14999999999998</v>
      </c>
      <c r="C79">
        <v>114078</v>
      </c>
      <c r="D79" s="4">
        <f t="shared" si="5"/>
        <v>22.052226056748793</v>
      </c>
      <c r="E79" s="4">
        <f t="shared" si="6"/>
        <v>-5.2226056748793326E-2</v>
      </c>
      <c r="F79">
        <f t="shared" si="7"/>
        <v>113470.06548642914</v>
      </c>
    </row>
    <row r="80" spans="1:6" x14ac:dyDescent="0.25">
      <c r="A80">
        <v>23</v>
      </c>
      <c r="B80">
        <f t="shared" si="4"/>
        <v>295.14999999999998</v>
      </c>
      <c r="C80">
        <v>109152</v>
      </c>
      <c r="D80" s="4">
        <f t="shared" si="5"/>
        <v>23.034644676576249</v>
      </c>
      <c r="E80" s="4">
        <f t="shared" si="6"/>
        <v>-3.4644676576249367E-2</v>
      </c>
      <c r="F80">
        <f t="shared" si="7"/>
        <v>108295.60063980847</v>
      </c>
    </row>
    <row r="81" spans="1:6" x14ac:dyDescent="0.25">
      <c r="A81">
        <v>24</v>
      </c>
      <c r="B81">
        <f t="shared" si="4"/>
        <v>296.14999999999998</v>
      </c>
      <c r="C81">
        <v>104464</v>
      </c>
      <c r="D81" s="4">
        <f t="shared" si="5"/>
        <v>24.017133086077024</v>
      </c>
      <c r="E81" s="4">
        <f t="shared" si="6"/>
        <v>-1.7133086077024018E-2</v>
      </c>
      <c r="F81">
        <f t="shared" si="7"/>
        <v>103389.68606687889</v>
      </c>
    </row>
    <row r="82" spans="1:6" x14ac:dyDescent="0.25">
      <c r="A82">
        <v>25</v>
      </c>
      <c r="B82">
        <f t="shared" si="4"/>
        <v>297.14999999999998</v>
      </c>
      <c r="C82">
        <v>100000</v>
      </c>
      <c r="D82" s="4">
        <f t="shared" si="5"/>
        <v>25</v>
      </c>
      <c r="E82" s="4">
        <f t="shared" si="6"/>
        <v>0</v>
      </c>
      <c r="F82">
        <f t="shared" si="7"/>
        <v>98736.81872309577</v>
      </c>
    </row>
    <row r="83" spans="1:6" x14ac:dyDescent="0.25">
      <c r="A83">
        <v>26</v>
      </c>
      <c r="B83">
        <f t="shared" si="4"/>
        <v>298.14999999999998</v>
      </c>
      <c r="C83">
        <v>95747</v>
      </c>
      <c r="D83" s="4">
        <f t="shared" si="5"/>
        <v>25.983551469953341</v>
      </c>
      <c r="E83" s="4">
        <f t="shared" si="6"/>
        <v>1.6448530046659471E-2</v>
      </c>
      <c r="F83">
        <f t="shared" si="7"/>
        <v>94322.475792912315</v>
      </c>
    </row>
    <row r="84" spans="1:6" x14ac:dyDescent="0.25">
      <c r="A84">
        <v>27</v>
      </c>
      <c r="B84">
        <f t="shared" si="4"/>
        <v>299.14999999999998</v>
      </c>
      <c r="C84">
        <v>91697</v>
      </c>
      <c r="D84" s="4">
        <f t="shared" si="5"/>
        <v>26.967075093719018</v>
      </c>
      <c r="E84" s="4">
        <f t="shared" si="6"/>
        <v>3.2924906280982214E-2</v>
      </c>
      <c r="F84">
        <f t="shared" si="7"/>
        <v>90133.047569587929</v>
      </c>
    </row>
    <row r="85" spans="1:6" x14ac:dyDescent="0.25">
      <c r="A85">
        <v>28</v>
      </c>
      <c r="B85">
        <f t="shared" si="4"/>
        <v>300.14999999999998</v>
      </c>
      <c r="C85">
        <v>87837</v>
      </c>
      <c r="D85" s="4">
        <f t="shared" si="5"/>
        <v>27.951180306888887</v>
      </c>
      <c r="E85" s="4">
        <f t="shared" si="6"/>
        <v>4.8819693111113338E-2</v>
      </c>
      <c r="F85">
        <f t="shared" si="7"/>
        <v>86155.775269301448</v>
      </c>
    </row>
    <row r="86" spans="1:6" x14ac:dyDescent="0.25">
      <c r="A86">
        <v>29</v>
      </c>
      <c r="B86">
        <f t="shared" si="4"/>
        <v>301.14999999999998</v>
      </c>
      <c r="C86">
        <v>84157</v>
      </c>
      <c r="D86" s="4">
        <f t="shared" si="5"/>
        <v>28.935941622914186</v>
      </c>
      <c r="E86" s="4">
        <f t="shared" si="6"/>
        <v>6.40583770858143E-2</v>
      </c>
      <c r="F86">
        <f t="shared" si="7"/>
        <v>82378.693392809088</v>
      </c>
    </row>
    <row r="87" spans="1:6" x14ac:dyDescent="0.25">
      <c r="A87">
        <v>30</v>
      </c>
      <c r="B87">
        <f t="shared" si="4"/>
        <v>302.14999999999998</v>
      </c>
      <c r="C87">
        <v>80650</v>
      </c>
      <c r="D87" s="4">
        <f t="shared" si="5"/>
        <v>29.920739857198384</v>
      </c>
      <c r="E87" s="4">
        <f t="shared" si="6"/>
        <v>7.926014280161553E-2</v>
      </c>
      <c r="F87">
        <f t="shared" si="7"/>
        <v>78790.576280019581</v>
      </c>
    </row>
    <row r="88" spans="1:6" x14ac:dyDescent="0.25">
      <c r="A88">
        <v>31</v>
      </c>
      <c r="B88">
        <f t="shared" si="4"/>
        <v>303.14999999999998</v>
      </c>
      <c r="C88">
        <v>77305</v>
      </c>
      <c r="D88" s="4">
        <f t="shared" si="5"/>
        <v>30.906192897657434</v>
      </c>
      <c r="E88" s="4">
        <f t="shared" si="6"/>
        <v>9.3807102342566395E-2</v>
      </c>
      <c r="F88">
        <f t="shared" si="7"/>
        <v>75380.888532187077</v>
      </c>
    </row>
    <row r="89" spans="1:6" x14ac:dyDescent="0.25">
      <c r="A89">
        <v>32</v>
      </c>
      <c r="B89">
        <f t="shared" si="4"/>
        <v>304.14999999999998</v>
      </c>
      <c r="C89">
        <v>74115</v>
      </c>
      <c r="D89" s="4">
        <f t="shared" si="5"/>
        <v>31.891932514218013</v>
      </c>
      <c r="E89" s="4">
        <f t="shared" si="6"/>
        <v>0.10806748578198722</v>
      </c>
      <c r="F89">
        <f t="shared" si="7"/>
        <v>72139.739003183597</v>
      </c>
    </row>
    <row r="90" spans="1:6" x14ac:dyDescent="0.25">
      <c r="A90">
        <v>33</v>
      </c>
      <c r="B90">
        <f t="shared" si="4"/>
        <v>305.14999999999998</v>
      </c>
      <c r="C90">
        <v>71072</v>
      </c>
      <c r="D90" s="4">
        <f t="shared" si="5"/>
        <v>32.877998062713289</v>
      </c>
      <c r="E90" s="4">
        <f t="shared" si="6"/>
        <v>0.12200193728671138</v>
      </c>
      <c r="F90">
        <f t="shared" si="7"/>
        <v>69057.838085756419</v>
      </c>
    </row>
    <row r="91" spans="1:6" x14ac:dyDescent="0.25">
      <c r="A91">
        <v>34</v>
      </c>
      <c r="B91">
        <f t="shared" si="4"/>
        <v>306.14999999999998</v>
      </c>
      <c r="C91">
        <v>68167</v>
      </c>
      <c r="D91" s="4">
        <f t="shared" si="5"/>
        <v>33.864935450504106</v>
      </c>
      <c r="E91" s="4">
        <f t="shared" si="6"/>
        <v>0.13506454949589397</v>
      </c>
      <c r="F91">
        <f t="shared" si="7"/>
        <v>66126.458040998128</v>
      </c>
    </row>
    <row r="92" spans="1:6" x14ac:dyDescent="0.25">
      <c r="A92">
        <v>35</v>
      </c>
      <c r="B92">
        <f t="shared" si="4"/>
        <v>307.14999999999998</v>
      </c>
      <c r="C92">
        <v>65395</v>
      </c>
      <c r="D92" s="4">
        <f t="shared" si="5"/>
        <v>34.852085553986399</v>
      </c>
      <c r="E92" s="4">
        <f t="shared" si="6"/>
        <v>0.14791444601360126</v>
      </c>
      <c r="F92">
        <f t="shared" si="7"/>
        <v>63337.396139670731</v>
      </c>
    </row>
    <row r="93" spans="1:6" x14ac:dyDescent="0.25">
      <c r="A93">
        <v>36</v>
      </c>
      <c r="B93">
        <f t="shared" si="4"/>
        <v>308.14999999999998</v>
      </c>
      <c r="C93">
        <v>62749</v>
      </c>
      <c r="D93" s="4">
        <f t="shared" si="5"/>
        <v>35.839565221231283</v>
      </c>
      <c r="E93" s="4">
        <f t="shared" si="6"/>
        <v>0.16043477876871748</v>
      </c>
      <c r="F93">
        <f t="shared" si="7"/>
        <v>60682.940402683082</v>
      </c>
    </row>
    <row r="94" spans="1:6" x14ac:dyDescent="0.25">
      <c r="A94">
        <v>37</v>
      </c>
      <c r="B94">
        <f t="shared" si="4"/>
        <v>309.14999999999998</v>
      </c>
      <c r="C94">
        <v>60222</v>
      </c>
      <c r="D94" s="4">
        <f t="shared" si="5"/>
        <v>36.827659906537235</v>
      </c>
      <c r="E94" s="4">
        <f t="shared" si="6"/>
        <v>0.1723400934627648</v>
      </c>
      <c r="F94">
        <f t="shared" si="7"/>
        <v>58155.837745092824</v>
      </c>
    </row>
    <row r="95" spans="1:6" x14ac:dyDescent="0.25">
      <c r="A95">
        <v>38</v>
      </c>
      <c r="B95">
        <f t="shared" si="4"/>
        <v>310.14999999999998</v>
      </c>
      <c r="C95">
        <v>57809</v>
      </c>
      <c r="D95" s="4">
        <f t="shared" si="5"/>
        <v>37.816013292913794</v>
      </c>
      <c r="E95" s="4">
        <f t="shared" si="6"/>
        <v>0.18398670708620557</v>
      </c>
      <c r="F95">
        <f t="shared" si="7"/>
        <v>55749.2643436328</v>
      </c>
    </row>
    <row r="96" spans="1:6" x14ac:dyDescent="0.25">
      <c r="A96">
        <v>39</v>
      </c>
      <c r="B96">
        <f t="shared" si="4"/>
        <v>311.14999999999998</v>
      </c>
      <c r="C96">
        <v>55503</v>
      </c>
      <c r="D96" s="4">
        <f t="shared" si="5"/>
        <v>38.805216204047326</v>
      </c>
      <c r="E96" s="4">
        <f t="shared" si="6"/>
        <v>0.1947837959526737</v>
      </c>
      <c r="F96">
        <f t="shared" si="7"/>
        <v>53456.798062063463</v>
      </c>
    </row>
    <row r="97" spans="1:6" x14ac:dyDescent="0.25">
      <c r="A97">
        <v>40</v>
      </c>
      <c r="B97">
        <f t="shared" si="4"/>
        <v>312.14999999999998</v>
      </c>
      <c r="C97">
        <v>53300</v>
      </c>
      <c r="D97" s="4">
        <f t="shared" si="5"/>
        <v>39.794731475439733</v>
      </c>
      <c r="E97" s="4">
        <f t="shared" si="6"/>
        <v>0.20526852456026745</v>
      </c>
      <c r="F97">
        <f t="shared" si="7"/>
        <v>51272.392781764116</v>
      </c>
    </row>
    <row r="98" spans="1:6" x14ac:dyDescent="0.25">
      <c r="A98">
        <v>41</v>
      </c>
      <c r="B98">
        <f t="shared" si="4"/>
        <v>313.14999999999998</v>
      </c>
      <c r="C98">
        <v>51195</v>
      </c>
      <c r="D98" s="4">
        <f t="shared" si="5"/>
        <v>40.784531994247686</v>
      </c>
      <c r="E98" s="4">
        <f t="shared" si="6"/>
        <v>0.21546800575231373</v>
      </c>
      <c r="F98">
        <f t="shared" si="7"/>
        <v>49190.354496983084</v>
      </c>
    </row>
    <row r="99" spans="1:6" x14ac:dyDescent="0.25">
      <c r="A99">
        <v>42</v>
      </c>
      <c r="B99">
        <f t="shared" si="4"/>
        <v>314.14999999999998</v>
      </c>
      <c r="C99">
        <v>49183</v>
      </c>
      <c r="D99" s="4">
        <f t="shared" si="5"/>
        <v>41.774721202762123</v>
      </c>
      <c r="E99" s="4">
        <f t="shared" si="6"/>
        <v>0.22527879723787692</v>
      </c>
      <c r="F99">
        <f t="shared" si="7"/>
        <v>47205.319045180942</v>
      </c>
    </row>
    <row r="100" spans="1:6" x14ac:dyDescent="0.25">
      <c r="A100">
        <v>43</v>
      </c>
      <c r="B100">
        <f t="shared" si="4"/>
        <v>315.14999999999998</v>
      </c>
      <c r="C100">
        <v>47259</v>
      </c>
      <c r="D100" s="4">
        <f t="shared" si="5"/>
        <v>42.765555847012138</v>
      </c>
      <c r="E100" s="4">
        <f t="shared" si="6"/>
        <v>0.23444415298786225</v>
      </c>
      <c r="F100">
        <f t="shared" si="7"/>
        <v>45312.231353001938</v>
      </c>
    </row>
    <row r="101" spans="1:6" x14ac:dyDescent="0.25">
      <c r="A101">
        <v>44</v>
      </c>
      <c r="B101">
        <f t="shared" si="4"/>
        <v>316.14999999999998</v>
      </c>
      <c r="C101">
        <v>45419</v>
      </c>
      <c r="D101" s="4">
        <f t="shared" si="5"/>
        <v>43.75691977418461</v>
      </c>
      <c r="E101" s="4">
        <f t="shared" si="6"/>
        <v>0.24308022581539035</v>
      </c>
      <c r="F101">
        <f t="shared" si="7"/>
        <v>43506.326087676018</v>
      </c>
    </row>
    <row r="102" spans="1:6" x14ac:dyDescent="0.25">
      <c r="A102">
        <v>45</v>
      </c>
      <c r="B102">
        <f t="shared" si="4"/>
        <v>317.14999999999998</v>
      </c>
      <c r="C102">
        <v>43659</v>
      </c>
      <c r="D102" s="4">
        <f t="shared" si="5"/>
        <v>44.748801051425403</v>
      </c>
      <c r="E102" s="4">
        <f t="shared" si="6"/>
        <v>0.25119894857459713</v>
      </c>
      <c r="F102">
        <f t="shared" si="7"/>
        <v>41783.109612164946</v>
      </c>
    </row>
    <row r="103" spans="1:6" x14ac:dyDescent="0.25">
      <c r="A103">
        <v>46</v>
      </c>
      <c r="B103">
        <f t="shared" si="4"/>
        <v>318.14999999999998</v>
      </c>
      <c r="C103">
        <v>41975</v>
      </c>
      <c r="D103" s="4">
        <f t="shared" si="5"/>
        <v>45.741311174720465</v>
      </c>
      <c r="E103" s="4">
        <f t="shared" si="6"/>
        <v>0.25868882527953474</v>
      </c>
      <c r="F103">
        <f t="shared" si="7"/>
        <v>40138.343150178829</v>
      </c>
    </row>
    <row r="104" spans="1:6" x14ac:dyDescent="0.25">
      <c r="A104">
        <v>47</v>
      </c>
      <c r="B104">
        <f t="shared" si="4"/>
        <v>319.14999999999998</v>
      </c>
      <c r="C104">
        <v>40364</v>
      </c>
      <c r="D104" s="4">
        <f t="shared" si="5"/>
        <v>46.734075965890725</v>
      </c>
      <c r="E104" s="4">
        <f t="shared" si="6"/>
        <v>0.26592403410927545</v>
      </c>
      <c r="F104">
        <f t="shared" si="7"/>
        <v>38568.027074369595</v>
      </c>
    </row>
    <row r="105" spans="1:6" x14ac:dyDescent="0.25">
      <c r="A105">
        <v>48</v>
      </c>
      <c r="B105">
        <f t="shared" si="4"/>
        <v>320.14999999999998</v>
      </c>
      <c r="C105">
        <v>38822</v>
      </c>
      <c r="D105" s="4">
        <f t="shared" si="5"/>
        <v>47.727433247044189</v>
      </c>
      <c r="E105" s="4">
        <f t="shared" si="6"/>
        <v>0.2725667529558109</v>
      </c>
      <c r="F105">
        <f t="shared" si="7"/>
        <v>37068.386237608458</v>
      </c>
    </row>
    <row r="106" spans="1:6" x14ac:dyDescent="0.25">
      <c r="A106">
        <v>49</v>
      </c>
      <c r="B106">
        <f t="shared" si="4"/>
        <v>321.14999999999998</v>
      </c>
      <c r="C106">
        <v>37346</v>
      </c>
      <c r="D106" s="4">
        <f t="shared" si="5"/>
        <v>48.721218038762913</v>
      </c>
      <c r="E106" s="4">
        <f t="shared" si="6"/>
        <v>0.27878196123708676</v>
      </c>
      <c r="F106">
        <f t="shared" si="7"/>
        <v>35635.856273321318</v>
      </c>
    </row>
    <row r="107" spans="1:6" x14ac:dyDescent="0.25">
      <c r="A107">
        <v>50</v>
      </c>
      <c r="B107">
        <f t="shared" si="4"/>
        <v>322.14999999999998</v>
      </c>
      <c r="C107">
        <v>35840</v>
      </c>
      <c r="D107" s="4">
        <f t="shared" si="5"/>
        <v>49.782339678702158</v>
      </c>
      <c r="E107" s="4">
        <f t="shared" si="6"/>
        <v>0.21766032129784207</v>
      </c>
      <c r="F107">
        <f t="shared" si="7"/>
        <v>34267.070796438791</v>
      </c>
    </row>
    <row r="108" spans="1:6" x14ac:dyDescent="0.25">
      <c r="A108">
        <v>51</v>
      </c>
      <c r="B108">
        <f t="shared" si="4"/>
        <v>323.14999999999998</v>
      </c>
      <c r="C108">
        <v>34580</v>
      </c>
      <c r="D108" s="4">
        <f t="shared" si="5"/>
        <v>50.70987120882404</v>
      </c>
      <c r="E108" s="4">
        <f t="shared" si="6"/>
        <v>0.29012879117595958</v>
      </c>
      <c r="F108">
        <f t="shared" si="7"/>
        <v>32958.849441655046</v>
      </c>
    </row>
    <row r="109" spans="1:6" x14ac:dyDescent="0.25">
      <c r="A109">
        <v>52</v>
      </c>
      <c r="B109">
        <f t="shared" si="4"/>
        <v>324.14999999999998</v>
      </c>
      <c r="C109">
        <v>33284</v>
      </c>
      <c r="D109" s="4">
        <f t="shared" si="5"/>
        <v>51.704922351548248</v>
      </c>
      <c r="E109" s="4">
        <f t="shared" si="6"/>
        <v>0.29507764845175188</v>
      </c>
      <c r="F109">
        <f t="shared" si="7"/>
        <v>31708.186680419163</v>
      </c>
    </row>
    <row r="110" spans="1:6" x14ac:dyDescent="0.25">
      <c r="A110">
        <v>53</v>
      </c>
      <c r="B110">
        <f t="shared" si="4"/>
        <v>325.14999999999998</v>
      </c>
      <c r="C110">
        <v>32043</v>
      </c>
      <c r="D110" s="4">
        <f t="shared" si="5"/>
        <v>52.699985360347966</v>
      </c>
      <c r="E110" s="4">
        <f t="shared" si="6"/>
        <v>0.30001463965203357</v>
      </c>
      <c r="F110">
        <f t="shared" si="7"/>
        <v>30512.241362437737</v>
      </c>
    </row>
    <row r="111" spans="1:6" x14ac:dyDescent="0.25">
      <c r="A111">
        <v>54</v>
      </c>
      <c r="B111">
        <f t="shared" si="4"/>
        <v>326.14999999999998</v>
      </c>
      <c r="C111">
        <v>30853</v>
      </c>
      <c r="D111" s="4">
        <f t="shared" si="5"/>
        <v>53.696270163887789</v>
      </c>
      <c r="E111" s="4">
        <f t="shared" si="6"/>
        <v>0.30372983611221116</v>
      </c>
      <c r="F111">
        <f t="shared" si="7"/>
        <v>29368.32693148097</v>
      </c>
    </row>
    <row r="112" spans="1:6" x14ac:dyDescent="0.25">
      <c r="A112">
        <v>55</v>
      </c>
      <c r="B112">
        <f t="shared" si="4"/>
        <v>327.14999999999998</v>
      </c>
      <c r="C112">
        <v>29713</v>
      </c>
      <c r="D112" s="4">
        <f t="shared" si="5"/>
        <v>54.692638310070379</v>
      </c>
      <c r="E112" s="4">
        <f t="shared" si="6"/>
        <v>0.30736168992962121</v>
      </c>
      <c r="F112">
        <f t="shared" si="7"/>
        <v>28273.902268985032</v>
      </c>
    </row>
    <row r="113" spans="1:6" x14ac:dyDescent="0.25">
      <c r="A113">
        <v>56</v>
      </c>
      <c r="B113">
        <f t="shared" si="4"/>
        <v>328.15</v>
      </c>
      <c r="C113">
        <v>28620</v>
      </c>
      <c r="D113" s="4">
        <f t="shared" si="5"/>
        <v>55.689718040573837</v>
      </c>
      <c r="E113" s="4">
        <f t="shared" si="6"/>
        <v>0.31028195942616321</v>
      </c>
      <c r="F113">
        <f t="shared" si="7"/>
        <v>27226.563122351246</v>
      </c>
    </row>
    <row r="114" spans="1:6" x14ac:dyDescent="0.25">
      <c r="A114">
        <v>57</v>
      </c>
      <c r="B114">
        <f t="shared" si="4"/>
        <v>329.15</v>
      </c>
      <c r="C114">
        <v>27573</v>
      </c>
      <c r="D114" s="4">
        <f t="shared" si="5"/>
        <v>56.686416607546107</v>
      </c>
      <c r="E114" s="4">
        <f t="shared" si="6"/>
        <v>0.31358339245389288</v>
      </c>
      <c r="F114">
        <f t="shared" si="7"/>
        <v>26224.034077991866</v>
      </c>
    </row>
    <row r="115" spans="1:6" x14ac:dyDescent="0.25">
      <c r="A115">
        <v>58</v>
      </c>
      <c r="B115">
        <f t="shared" si="4"/>
        <v>330.15</v>
      </c>
      <c r="C115">
        <v>26568</v>
      </c>
      <c r="D115" s="4">
        <f t="shared" si="5"/>
        <v>57.684601188437171</v>
      </c>
      <c r="E115" s="4">
        <f t="shared" si="6"/>
        <v>0.31539881156282945</v>
      </c>
      <c r="F115">
        <f t="shared" si="7"/>
        <v>25264.161042073505</v>
      </c>
    </row>
    <row r="116" spans="1:6" x14ac:dyDescent="0.25">
      <c r="A116">
        <v>59</v>
      </c>
      <c r="B116">
        <f t="shared" si="4"/>
        <v>331.15</v>
      </c>
      <c r="C116">
        <v>25605</v>
      </c>
      <c r="D116" s="4">
        <f t="shared" si="5"/>
        <v>58.682345310098185</v>
      </c>
      <c r="E116" s="4">
        <f t="shared" si="6"/>
        <v>0.31765468990181489</v>
      </c>
      <c r="F116">
        <f t="shared" si="7"/>
        <v>24344.904194589828</v>
      </c>
    </row>
    <row r="117" spans="1:6" x14ac:dyDescent="0.25">
      <c r="A117">
        <v>60</v>
      </c>
      <c r="B117">
        <f t="shared" si="4"/>
        <v>332.15</v>
      </c>
      <c r="C117">
        <v>24681</v>
      </c>
      <c r="D117" s="4">
        <f t="shared" si="5"/>
        <v>59.680795905046523</v>
      </c>
      <c r="E117" s="4">
        <f t="shared" si="6"/>
        <v>0.31920409495347712</v>
      </c>
      <c r="F117">
        <f t="shared" si="7"/>
        <v>23464.331384869682</v>
      </c>
    </row>
    <row r="118" spans="1:6" x14ac:dyDescent="0.25">
      <c r="A118">
        <v>61</v>
      </c>
      <c r="B118">
        <f t="shared" si="4"/>
        <v>333.15</v>
      </c>
      <c r="C118">
        <v>23794</v>
      </c>
      <c r="D118" s="4">
        <f t="shared" si="5"/>
        <v>60.680260576329829</v>
      </c>
      <c r="E118" s="4">
        <f t="shared" si="6"/>
        <v>0.31973942367017116</v>
      </c>
      <c r="F118">
        <f t="shared" si="7"/>
        <v>22620.611938913607</v>
      </c>
    </row>
    <row r="119" spans="1:6" x14ac:dyDescent="0.25">
      <c r="A119">
        <v>62</v>
      </c>
      <c r="B119">
        <f t="shared" si="4"/>
        <v>334.15</v>
      </c>
      <c r="C119">
        <v>22944</v>
      </c>
      <c r="D119" s="4">
        <f t="shared" si="5"/>
        <v>61.678800177490643</v>
      </c>
      <c r="E119" s="4">
        <f t="shared" si="6"/>
        <v>0.32119982250935664</v>
      </c>
      <c r="F119">
        <f t="shared" si="7"/>
        <v>21812.010851063562</v>
      </c>
    </row>
    <row r="120" spans="1:6" x14ac:dyDescent="0.25">
      <c r="A120">
        <v>63</v>
      </c>
      <c r="B120">
        <f t="shared" si="4"/>
        <v>335.15</v>
      </c>
      <c r="C120">
        <v>22127</v>
      </c>
      <c r="D120" s="4">
        <f t="shared" si="5"/>
        <v>62.679243695348191</v>
      </c>
      <c r="E120" s="4">
        <f t="shared" si="6"/>
        <v>0.32075630465180893</v>
      </c>
      <c r="F120">
        <f t="shared" si="7"/>
        <v>21036.883334464746</v>
      </c>
    </row>
    <row r="121" spans="1:6" x14ac:dyDescent="0.25">
      <c r="A121">
        <v>64</v>
      </c>
      <c r="B121">
        <f t="shared" si="4"/>
        <v>336.15</v>
      </c>
      <c r="C121">
        <v>21344</v>
      </c>
      <c r="D121" s="4">
        <f t="shared" si="5"/>
        <v>63.678499313860073</v>
      </c>
      <c r="E121" s="4">
        <f t="shared" si="6"/>
        <v>0.32150068613992744</v>
      </c>
      <c r="F121">
        <f t="shared" si="7"/>
        <v>20293.669706583907</v>
      </c>
    </row>
    <row r="122" spans="1:6" x14ac:dyDescent="0.25">
      <c r="A122">
        <v>65</v>
      </c>
      <c r="B122">
        <f t="shared" si="4"/>
        <v>337.15</v>
      </c>
      <c r="C122">
        <v>20592</v>
      </c>
      <c r="D122" s="4">
        <f t="shared" si="5"/>
        <v>64.678468792000274</v>
      </c>
      <c r="E122" s="4">
        <f t="shared" si="6"/>
        <v>0.32153120799972612</v>
      </c>
      <c r="F122">
        <f t="shared" si="7"/>
        <v>19580.890587720431</v>
      </c>
    </row>
    <row r="123" spans="1:6" x14ac:dyDescent="0.25">
      <c r="A123">
        <v>66</v>
      </c>
      <c r="B123">
        <f t="shared" si="4"/>
        <v>338.15</v>
      </c>
      <c r="C123">
        <v>19869</v>
      </c>
      <c r="D123" s="4">
        <f t="shared" si="5"/>
        <v>65.680074525321913</v>
      </c>
      <c r="E123" s="4">
        <f t="shared" si="6"/>
        <v>0.31992547467808663</v>
      </c>
      <c r="F123">
        <f t="shared" si="7"/>
        <v>18897.142391991969</v>
      </c>
    </row>
    <row r="124" spans="1:6" x14ac:dyDescent="0.25">
      <c r="A124">
        <v>67</v>
      </c>
      <c r="B124">
        <f t="shared" si="4"/>
        <v>339.15</v>
      </c>
      <c r="C124">
        <v>19175</v>
      </c>
      <c r="D124" s="4">
        <f t="shared" si="5"/>
        <v>66.681540197846573</v>
      </c>
      <c r="E124" s="4">
        <f t="shared" si="6"/>
        <v>0.31845980215342706</v>
      </c>
      <c r="F124">
        <f t="shared" si="7"/>
        <v>18241.093091709321</v>
      </c>
    </row>
    <row r="125" spans="1:6" x14ac:dyDescent="0.25">
      <c r="A125">
        <v>68</v>
      </c>
      <c r="B125">
        <f t="shared" si="4"/>
        <v>340.15</v>
      </c>
      <c r="C125">
        <v>18509</v>
      </c>
      <c r="D125" s="4">
        <f t="shared" si="5"/>
        <v>67.682411286302568</v>
      </c>
      <c r="E125" s="4">
        <f t="shared" si="6"/>
        <v>0.31758871369743247</v>
      </c>
      <c r="F125">
        <f t="shared" si="7"/>
        <v>17611.478237379761</v>
      </c>
    </row>
    <row r="126" spans="1:6" x14ac:dyDescent="0.25">
      <c r="A126">
        <v>69</v>
      </c>
      <c r="B126">
        <f t="shared" si="4"/>
        <v>341.15</v>
      </c>
      <c r="C126">
        <v>17869</v>
      </c>
      <c r="D126" s="4">
        <f t="shared" si="5"/>
        <v>68.68385665361609</v>
      </c>
      <c r="E126" s="4">
        <f t="shared" si="6"/>
        <v>0.31614334638391028</v>
      </c>
      <c r="F126">
        <f t="shared" si="7"/>
        <v>17007.097216808099</v>
      </c>
    </row>
    <row r="127" spans="1:6" x14ac:dyDescent="0.25">
      <c r="A127">
        <v>70</v>
      </c>
      <c r="B127">
        <f t="shared" si="4"/>
        <v>342.15</v>
      </c>
      <c r="C127">
        <v>17253</v>
      </c>
      <c r="D127" s="4">
        <f t="shared" si="5"/>
        <v>69.687341744085984</v>
      </c>
      <c r="E127" s="4">
        <f t="shared" si="6"/>
        <v>0.31265825591401608</v>
      </c>
      <c r="F127">
        <f t="shared" si="7"/>
        <v>16426.809737901247</v>
      </c>
    </row>
    <row r="128" spans="1:6" x14ac:dyDescent="0.25">
      <c r="A128">
        <v>71</v>
      </c>
      <c r="B128">
        <f t="shared" si="4"/>
        <v>343.15</v>
      </c>
      <c r="C128">
        <v>16662</v>
      </c>
      <c r="D128" s="4">
        <f t="shared" si="5"/>
        <v>70.689471704338246</v>
      </c>
      <c r="E128" s="4">
        <f t="shared" si="6"/>
        <v>0.31052829566175433</v>
      </c>
      <c r="F128">
        <f t="shared" si="7"/>
        <v>15869.532520839131</v>
      </c>
    </row>
    <row r="129" spans="1:6" x14ac:dyDescent="0.25">
      <c r="A129">
        <v>72</v>
      </c>
      <c r="B129">
        <f t="shared" si="4"/>
        <v>344.15</v>
      </c>
      <c r="C129">
        <v>16094</v>
      </c>
      <c r="D129" s="4">
        <f t="shared" si="5"/>
        <v>71.691774112301744</v>
      </c>
      <c r="E129" s="4">
        <f t="shared" si="6"/>
        <v>0.30822588769825643</v>
      </c>
      <c r="F129">
        <f t="shared" si="7"/>
        <v>15334.236186252256</v>
      </c>
    </row>
    <row r="130" spans="1:6" x14ac:dyDescent="0.25">
      <c r="A130">
        <v>73</v>
      </c>
      <c r="B130">
        <f t="shared" si="4"/>
        <v>345.15</v>
      </c>
      <c r="C130">
        <v>15548</v>
      </c>
      <c r="D130" s="4">
        <f t="shared" si="5"/>
        <v>72.694260530338511</v>
      </c>
      <c r="E130" s="4">
        <f t="shared" si="6"/>
        <v>0.30573946966148924</v>
      </c>
      <c r="F130">
        <f t="shared" si="7"/>
        <v>14819.942326955046</v>
      </c>
    </row>
    <row r="131" spans="1:6" x14ac:dyDescent="0.25">
      <c r="A131">
        <v>74</v>
      </c>
      <c r="B131">
        <f t="shared" ref="B131:B182" si="8">A131+272.15</f>
        <v>346.15</v>
      </c>
      <c r="C131">
        <v>15022</v>
      </c>
      <c r="D131" s="4">
        <f t="shared" ref="D131:D182" si="9">1/($L$22+$L$23*LN(C131)+$L$24*LN(C131)^3)-272.15</f>
        <v>73.698984095572769</v>
      </c>
      <c r="E131" s="4">
        <f t="shared" ref="E131:E182" si="10">A131-D131</f>
        <v>0.30101590442723136</v>
      </c>
      <c r="F131">
        <f t="shared" ref="F131:F182" si="11">$P$33*EXP($P$32/B131)</f>
        <v>14325.720751625786</v>
      </c>
    </row>
    <row r="132" spans="1:6" x14ac:dyDescent="0.25">
      <c r="A132">
        <v>75</v>
      </c>
      <c r="B132">
        <f t="shared" si="8"/>
        <v>347.15</v>
      </c>
      <c r="C132">
        <v>14517</v>
      </c>
      <c r="D132" s="4">
        <f t="shared" si="9"/>
        <v>74.702338175141392</v>
      </c>
      <c r="E132" s="4">
        <f t="shared" si="10"/>
        <v>0.29766182485860782</v>
      </c>
      <c r="F132">
        <f t="shared" si="11"/>
        <v>13850.68688960697</v>
      </c>
    </row>
    <row r="133" spans="1:6" x14ac:dyDescent="0.25">
      <c r="A133">
        <v>76</v>
      </c>
      <c r="B133">
        <f t="shared" si="8"/>
        <v>348.15</v>
      </c>
      <c r="C133">
        <v>14031</v>
      </c>
      <c r="D133" s="4">
        <f t="shared" si="9"/>
        <v>75.706529295516305</v>
      </c>
      <c r="E133" s="4">
        <f t="shared" si="10"/>
        <v>0.2934707044836955</v>
      </c>
      <c r="F133">
        <f t="shared" si="11"/>
        <v>13393.999346725561</v>
      </c>
    </row>
    <row r="134" spans="1:6" x14ac:dyDescent="0.25">
      <c r="A134">
        <v>77</v>
      </c>
      <c r="B134">
        <f t="shared" si="8"/>
        <v>349.15</v>
      </c>
      <c r="C134">
        <v>13564</v>
      </c>
      <c r="D134" s="4">
        <f t="shared" si="9"/>
        <v>76.709837783211867</v>
      </c>
      <c r="E134" s="4">
        <f t="shared" si="10"/>
        <v>0.29016221678813281</v>
      </c>
      <c r="F134">
        <f t="shared" si="11"/>
        <v>12954.8576027076</v>
      </c>
    </row>
    <row r="135" spans="1:6" x14ac:dyDescent="0.25">
      <c r="A135">
        <v>78</v>
      </c>
      <c r="B135">
        <f t="shared" si="8"/>
        <v>350.15</v>
      </c>
      <c r="C135">
        <v>13114</v>
      </c>
      <c r="D135" s="4">
        <f t="shared" si="9"/>
        <v>77.7149067943011</v>
      </c>
      <c r="E135" s="4">
        <f t="shared" si="10"/>
        <v>0.28509320569889951</v>
      </c>
      <c r="F135">
        <f t="shared" si="11"/>
        <v>12532.499841388375</v>
      </c>
    </row>
    <row r="136" spans="1:6" x14ac:dyDescent="0.25">
      <c r="A136">
        <v>79</v>
      </c>
      <c r="B136">
        <f t="shared" si="8"/>
        <v>351.15</v>
      </c>
      <c r="C136">
        <v>12681</v>
      </c>
      <c r="D136" s="4">
        <f t="shared" si="9"/>
        <v>78.720158655133787</v>
      </c>
      <c r="E136" s="4">
        <f t="shared" si="10"/>
        <v>0.27984134486621315</v>
      </c>
      <c r="F136">
        <f t="shared" si="11"/>
        <v>12126.200905502159</v>
      </c>
    </row>
    <row r="137" spans="1:6" x14ac:dyDescent="0.25">
      <c r="A137">
        <v>80</v>
      </c>
      <c r="B137">
        <f t="shared" si="8"/>
        <v>352.15</v>
      </c>
      <c r="C137">
        <v>12265</v>
      </c>
      <c r="D137" s="4">
        <f t="shared" si="9"/>
        <v>79.723836761338532</v>
      </c>
      <c r="E137" s="4">
        <f t="shared" si="10"/>
        <v>0.27616323866146786</v>
      </c>
      <c r="F137">
        <f t="shared" si="11"/>
        <v>11735.270368377267</v>
      </c>
    </row>
    <row r="138" spans="1:6" x14ac:dyDescent="0.25">
      <c r="A138">
        <v>81</v>
      </c>
      <c r="B138">
        <f t="shared" si="8"/>
        <v>353.15</v>
      </c>
      <c r="C138">
        <v>11864</v>
      </c>
      <c r="D138" s="4">
        <f t="shared" si="9"/>
        <v>80.729105496754528</v>
      </c>
      <c r="E138" s="4">
        <f t="shared" si="10"/>
        <v>0.27089450324547215</v>
      </c>
      <c r="F138">
        <f t="shared" si="11"/>
        <v>11359.050715366229</v>
      </c>
    </row>
    <row r="139" spans="1:6" x14ac:dyDescent="0.25">
      <c r="A139">
        <v>82</v>
      </c>
      <c r="B139">
        <f t="shared" si="8"/>
        <v>354.15</v>
      </c>
      <c r="C139">
        <v>11478</v>
      </c>
      <c r="D139" s="4">
        <f t="shared" si="9"/>
        <v>81.734411814190764</v>
      </c>
      <c r="E139" s="4">
        <f t="shared" si="10"/>
        <v>0.26558818580923571</v>
      </c>
      <c r="F139">
        <f t="shared" si="11"/>
        <v>10996.915628309307</v>
      </c>
    </row>
    <row r="140" spans="1:6" x14ac:dyDescent="0.25">
      <c r="A140">
        <v>83</v>
      </c>
      <c r="B140">
        <f t="shared" si="8"/>
        <v>355.15</v>
      </c>
      <c r="C140">
        <v>11106</v>
      </c>
      <c r="D140" s="4">
        <f t="shared" si="9"/>
        <v>82.740786942363172</v>
      </c>
      <c r="E140" s="4">
        <f t="shared" si="10"/>
        <v>0.25921305763682767</v>
      </c>
      <c r="F140">
        <f t="shared" si="11"/>
        <v>10648.268366766491</v>
      </c>
    </row>
    <row r="141" spans="1:6" x14ac:dyDescent="0.25">
      <c r="A141">
        <v>84</v>
      </c>
      <c r="B141">
        <f t="shared" si="8"/>
        <v>356.15</v>
      </c>
      <c r="C141">
        <v>10748</v>
      </c>
      <c r="D141" s="4">
        <f t="shared" si="9"/>
        <v>83.746639598599302</v>
      </c>
      <c r="E141" s="4">
        <f t="shared" si="10"/>
        <v>0.25336040140069827</v>
      </c>
      <c r="F141">
        <f t="shared" si="11"/>
        <v>10312.540240158933</v>
      </c>
    </row>
    <row r="142" spans="1:6" x14ac:dyDescent="0.25">
      <c r="A142">
        <v>85</v>
      </c>
      <c r="B142">
        <f t="shared" si="8"/>
        <v>357.15</v>
      </c>
      <c r="C142">
        <v>10404</v>
      </c>
      <c r="D142" s="4">
        <f t="shared" si="9"/>
        <v>84.750205648762915</v>
      </c>
      <c r="E142" s="4">
        <f t="shared" si="10"/>
        <v>0.24979435123708527</v>
      </c>
      <c r="F142">
        <f t="shared" si="11"/>
        <v>9989.1891653389939</v>
      </c>
    </row>
    <row r="143" spans="1:6" x14ac:dyDescent="0.25">
      <c r="A143">
        <v>86</v>
      </c>
      <c r="B143">
        <f t="shared" si="8"/>
        <v>358.15</v>
      </c>
      <c r="C143">
        <v>10071</v>
      </c>
      <c r="D143" s="4">
        <f t="shared" si="9"/>
        <v>85.758796039032063</v>
      </c>
      <c r="E143" s="4">
        <f t="shared" si="10"/>
        <v>0.24120396096793684</v>
      </c>
      <c r="F143">
        <f t="shared" si="11"/>
        <v>9677.6983044609951</v>
      </c>
    </row>
    <row r="144" spans="1:6" x14ac:dyDescent="0.25">
      <c r="A144">
        <v>87</v>
      </c>
      <c r="B144">
        <f t="shared" si="8"/>
        <v>359.15</v>
      </c>
      <c r="C144">
        <v>9751</v>
      </c>
      <c r="D144" s="4">
        <f t="shared" si="9"/>
        <v>86.764916824498755</v>
      </c>
      <c r="E144" s="4">
        <f t="shared" si="10"/>
        <v>0.23508317550124502</v>
      </c>
      <c r="F144">
        <f t="shared" si="11"/>
        <v>9377.5747783521565</v>
      </c>
    </row>
    <row r="145" spans="1:6" x14ac:dyDescent="0.25">
      <c r="A145">
        <v>88</v>
      </c>
      <c r="B145">
        <f t="shared" si="8"/>
        <v>360.15</v>
      </c>
      <c r="C145">
        <v>9443</v>
      </c>
      <c r="D145" s="4">
        <f t="shared" si="9"/>
        <v>87.769943674880267</v>
      </c>
      <c r="E145" s="4">
        <f t="shared" si="10"/>
        <v>0.23005632511973317</v>
      </c>
      <c r="F145">
        <f t="shared" si="11"/>
        <v>9088.3484508902875</v>
      </c>
    </row>
    <row r="146" spans="1:6" x14ac:dyDescent="0.25">
      <c r="A146">
        <v>89</v>
      </c>
      <c r="B146">
        <f t="shared" si="8"/>
        <v>361.15</v>
      </c>
      <c r="C146">
        <v>9146</v>
      </c>
      <c r="D146" s="4">
        <f t="shared" si="9"/>
        <v>88.775560915304709</v>
      </c>
      <c r="E146" s="4">
        <f t="shared" si="10"/>
        <v>0.22443908469529106</v>
      </c>
      <c r="F146">
        <f t="shared" si="11"/>
        <v>8809.5707801794942</v>
      </c>
    </row>
    <row r="147" spans="1:6" x14ac:dyDescent="0.25">
      <c r="A147">
        <v>90</v>
      </c>
      <c r="B147">
        <f t="shared" si="8"/>
        <v>362.15</v>
      </c>
      <c r="C147">
        <v>8859</v>
      </c>
      <c r="D147" s="4">
        <f t="shared" si="9"/>
        <v>89.783791598987534</v>
      </c>
      <c r="E147" s="4">
        <f t="shared" si="10"/>
        <v>0.21620840101246586</v>
      </c>
      <c r="F147">
        <f t="shared" si="11"/>
        <v>8540.813732581355</v>
      </c>
    </row>
    <row r="148" spans="1:6" x14ac:dyDescent="0.25">
      <c r="A148">
        <v>91</v>
      </c>
      <c r="B148">
        <f t="shared" si="8"/>
        <v>363.15</v>
      </c>
      <c r="C148">
        <v>8583</v>
      </c>
      <c r="D148" s="4">
        <f t="shared" si="9"/>
        <v>90.789606580130169</v>
      </c>
      <c r="E148" s="4">
        <f t="shared" si="10"/>
        <v>0.21039341986983118</v>
      </c>
      <c r="F148">
        <f t="shared" si="11"/>
        <v>8281.6687559074726</v>
      </c>
    </row>
    <row r="149" spans="1:6" x14ac:dyDescent="0.25">
      <c r="A149">
        <v>92</v>
      </c>
      <c r="B149">
        <f t="shared" si="8"/>
        <v>364.15</v>
      </c>
      <c r="C149">
        <v>8316</v>
      </c>
      <c r="D149" s="4">
        <f t="shared" si="9"/>
        <v>91.798828450408791</v>
      </c>
      <c r="E149" s="4">
        <f t="shared" si="10"/>
        <v>0.20117154959120853</v>
      </c>
      <c r="F149">
        <f t="shared" si="11"/>
        <v>8031.7458083108913</v>
      </c>
    </row>
    <row r="150" spans="1:6" x14ac:dyDescent="0.25">
      <c r="A150">
        <v>93</v>
      </c>
      <c r="B150">
        <f t="shared" si="8"/>
        <v>365.15</v>
      </c>
      <c r="C150">
        <v>8060</v>
      </c>
      <c r="D150" s="4">
        <f t="shared" si="9"/>
        <v>92.802269760667116</v>
      </c>
      <c r="E150" s="4">
        <f t="shared" si="10"/>
        <v>0.19773023933288414</v>
      </c>
      <c r="F150">
        <f t="shared" si="11"/>
        <v>7790.6724396301061</v>
      </c>
    </row>
    <row r="151" spans="1:6" x14ac:dyDescent="0.25">
      <c r="A151">
        <v>94</v>
      </c>
      <c r="B151">
        <f t="shared" si="8"/>
        <v>366.15</v>
      </c>
      <c r="C151">
        <v>7812</v>
      </c>
      <c r="D151" s="4">
        <f t="shared" si="9"/>
        <v>93.810124864129875</v>
      </c>
      <c r="E151" s="4">
        <f t="shared" si="10"/>
        <v>0.18987513587012472</v>
      </c>
      <c r="F151">
        <f t="shared" si="11"/>
        <v>7558.0929221413408</v>
      </c>
    </row>
    <row r="152" spans="1:6" x14ac:dyDescent="0.25">
      <c r="A152">
        <v>95</v>
      </c>
      <c r="B152">
        <f t="shared" si="8"/>
        <v>367.15</v>
      </c>
      <c r="C152">
        <v>7573</v>
      </c>
      <c r="D152" s="4">
        <f t="shared" si="9"/>
        <v>94.817046170138326</v>
      </c>
      <c r="E152" s="4">
        <f t="shared" si="10"/>
        <v>0.18295382986167397</v>
      </c>
      <c r="F152">
        <f t="shared" si="11"/>
        <v>7333.6674278633791</v>
      </c>
    </row>
    <row r="153" spans="1:6" x14ac:dyDescent="0.25">
      <c r="A153">
        <v>96</v>
      </c>
      <c r="B153">
        <f t="shared" si="8"/>
        <v>368.15</v>
      </c>
      <c r="C153">
        <v>7342</v>
      </c>
      <c r="D153" s="4">
        <f t="shared" si="9"/>
        <v>95.825828842539465</v>
      </c>
      <c r="E153" s="4">
        <f t="shared" si="10"/>
        <v>0.17417115746053469</v>
      </c>
      <c r="F153">
        <f t="shared" si="11"/>
        <v>7117.0712497352442</v>
      </c>
    </row>
    <row r="154" spans="1:6" x14ac:dyDescent="0.25">
      <c r="A154">
        <v>97</v>
      </c>
      <c r="B154">
        <f t="shared" si="8"/>
        <v>369.15</v>
      </c>
      <c r="C154">
        <v>7120</v>
      </c>
      <c r="D154" s="4">
        <f t="shared" si="9"/>
        <v>96.830537430023981</v>
      </c>
      <c r="E154" s="4">
        <f t="shared" si="10"/>
        <v>0.16946256997601949</v>
      </c>
      <c r="F154">
        <f t="shared" si="11"/>
        <v>6907.9940641521507</v>
      </c>
    </row>
    <row r="155" spans="1:6" x14ac:dyDescent="0.25">
      <c r="A155">
        <v>98</v>
      </c>
      <c r="B155">
        <f t="shared" si="8"/>
        <v>370.15</v>
      </c>
      <c r="C155">
        <v>6905</v>
      </c>
      <c r="D155" s="4">
        <f t="shared" si="9"/>
        <v>97.838752512147494</v>
      </c>
      <c r="E155" s="4">
        <f t="shared" si="10"/>
        <v>0.16124748785250631</v>
      </c>
      <c r="F155">
        <f t="shared" si="11"/>
        <v>6706.1392324984472</v>
      </c>
    </row>
    <row r="156" spans="1:6" x14ac:dyDescent="0.25">
      <c r="A156">
        <v>99</v>
      </c>
      <c r="B156">
        <f t="shared" si="8"/>
        <v>371.15</v>
      </c>
      <c r="C156">
        <v>6698</v>
      </c>
      <c r="D156" s="4">
        <f t="shared" si="9"/>
        <v>98.844413357057249</v>
      </c>
      <c r="E156" s="4">
        <f t="shared" si="10"/>
        <v>0.15558664294275104</v>
      </c>
      <c r="F156">
        <f t="shared" si="11"/>
        <v>6511.2231394605233</v>
      </c>
    </row>
    <row r="157" spans="1:6" x14ac:dyDescent="0.25">
      <c r="A157">
        <v>100</v>
      </c>
      <c r="B157">
        <f t="shared" si="8"/>
        <v>372.15</v>
      </c>
      <c r="C157">
        <v>6498</v>
      </c>
      <c r="D157" s="4">
        <f t="shared" si="9"/>
        <v>99.850871892274085</v>
      </c>
      <c r="E157" s="4">
        <f t="shared" si="10"/>
        <v>0.14912810772591456</v>
      </c>
      <c r="F157">
        <f t="shared" si="11"/>
        <v>6322.9745660374556</v>
      </c>
    </row>
    <row r="158" spans="1:6" x14ac:dyDescent="0.25">
      <c r="A158">
        <v>101</v>
      </c>
      <c r="B158">
        <f t="shared" si="8"/>
        <v>373.15</v>
      </c>
      <c r="C158">
        <v>6304</v>
      </c>
      <c r="D158" s="4">
        <f t="shared" si="9"/>
        <v>100.86204617333544</v>
      </c>
      <c r="E158" s="4">
        <f t="shared" si="10"/>
        <v>0.1379538266645568</v>
      </c>
      <c r="F158">
        <f t="shared" si="11"/>
        <v>6141.134095292442</v>
      </c>
    </row>
    <row r="159" spans="1:6" x14ac:dyDescent="0.25">
      <c r="A159">
        <v>102</v>
      </c>
      <c r="B159">
        <f t="shared" si="8"/>
        <v>374.15</v>
      </c>
      <c r="C159">
        <v>6118</v>
      </c>
      <c r="D159" s="4">
        <f t="shared" si="9"/>
        <v>101.86599066145567</v>
      </c>
      <c r="E159" s="4">
        <f t="shared" si="10"/>
        <v>0.13400933854433106</v>
      </c>
      <c r="F159">
        <f t="shared" si="11"/>
        <v>5965.4535490065819</v>
      </c>
    </row>
    <row r="160" spans="1:6" x14ac:dyDescent="0.25">
      <c r="A160">
        <v>103</v>
      </c>
      <c r="B160">
        <f t="shared" si="8"/>
        <v>375.15</v>
      </c>
      <c r="C160">
        <v>5937</v>
      </c>
      <c r="D160" s="4">
        <f t="shared" si="9"/>
        <v>102.8775300359394</v>
      </c>
      <c r="E160" s="4">
        <f t="shared" si="10"/>
        <v>0.12246996406059907</v>
      </c>
      <c r="F160">
        <f t="shared" si="11"/>
        <v>5795.6954535065461</v>
      </c>
    </row>
    <row r="161" spans="1:6" x14ac:dyDescent="0.25">
      <c r="A161">
        <v>104</v>
      </c>
      <c r="B161">
        <f t="shared" si="8"/>
        <v>376.15</v>
      </c>
      <c r="C161">
        <v>5763</v>
      </c>
      <c r="D161" s="4">
        <f t="shared" si="9"/>
        <v>103.88426635180645</v>
      </c>
      <c r="E161" s="4">
        <f t="shared" si="10"/>
        <v>0.11573364819355447</v>
      </c>
      <c r="F161">
        <f t="shared" si="11"/>
        <v>5631.6325330408436</v>
      </c>
    </row>
    <row r="162" spans="1:6" x14ac:dyDescent="0.25">
      <c r="A162">
        <v>105</v>
      </c>
      <c r="B162">
        <f t="shared" si="8"/>
        <v>377.15</v>
      </c>
      <c r="C162">
        <v>5595</v>
      </c>
      <c r="D162" s="4">
        <f t="shared" si="9"/>
        <v>104.89034285554953</v>
      </c>
      <c r="E162" s="4">
        <f t="shared" si="10"/>
        <v>0.10965714445046615</v>
      </c>
      <c r="F162">
        <f t="shared" si="11"/>
        <v>5473.0472291763163</v>
      </c>
    </row>
    <row r="163" spans="1:6" x14ac:dyDescent="0.25">
      <c r="A163">
        <v>106</v>
      </c>
      <c r="B163">
        <f t="shared" si="8"/>
        <v>378.15</v>
      </c>
      <c r="C163">
        <v>5433</v>
      </c>
      <c r="D163" s="4">
        <f t="shared" si="9"/>
        <v>105.89427842222659</v>
      </c>
      <c r="E163" s="4">
        <f t="shared" si="10"/>
        <v>0.10572157777340863</v>
      </c>
      <c r="F163">
        <f t="shared" si="11"/>
        <v>5319.7312447771501</v>
      </c>
    </row>
    <row r="164" spans="1:6" x14ac:dyDescent="0.25">
      <c r="A164">
        <v>107</v>
      </c>
      <c r="B164">
        <f t="shared" si="8"/>
        <v>379.15</v>
      </c>
      <c r="C164">
        <v>5276</v>
      </c>
      <c r="D164" s="4">
        <f t="shared" si="9"/>
        <v>106.90097592396586</v>
      </c>
      <c r="E164" s="4">
        <f t="shared" si="10"/>
        <v>9.9024076034140762E-2</v>
      </c>
      <c r="F164">
        <f t="shared" si="11"/>
        <v>5171.4851112131628</v>
      </c>
    </row>
    <row r="165" spans="1:6" x14ac:dyDescent="0.25">
      <c r="A165">
        <v>108</v>
      </c>
      <c r="B165">
        <f t="shared" si="8"/>
        <v>380.15</v>
      </c>
      <c r="C165">
        <v>5124</v>
      </c>
      <c r="D165" s="4">
        <f t="shared" si="9"/>
        <v>107.90934471941233</v>
      </c>
      <c r="E165" s="4">
        <f t="shared" si="10"/>
        <v>9.0655280587668585E-2</v>
      </c>
      <c r="F165">
        <f t="shared" si="11"/>
        <v>5028.1177775243095</v>
      </c>
    </row>
    <row r="166" spans="1:6" x14ac:dyDescent="0.25">
      <c r="A166">
        <v>109</v>
      </c>
      <c r="B166">
        <f t="shared" si="8"/>
        <v>381.15</v>
      </c>
      <c r="C166">
        <v>4977</v>
      </c>
      <c r="D166" s="4">
        <f t="shared" si="9"/>
        <v>108.91818140550936</v>
      </c>
      <c r="E166" s="4">
        <f t="shared" si="10"/>
        <v>8.1818594490641772E-2</v>
      </c>
      <c r="F166">
        <f t="shared" si="11"/>
        <v>4889.4462203424246</v>
      </c>
    </row>
    <row r="167" spans="1:6" x14ac:dyDescent="0.25">
      <c r="A167">
        <v>110</v>
      </c>
      <c r="B167">
        <f t="shared" si="8"/>
        <v>382.15</v>
      </c>
      <c r="C167">
        <v>4836</v>
      </c>
      <c r="D167" s="4">
        <f t="shared" si="9"/>
        <v>109.91894498477046</v>
      </c>
      <c r="E167" s="4">
        <f t="shared" si="10"/>
        <v>8.105501522953773E-2</v>
      </c>
      <c r="F167">
        <f t="shared" si="11"/>
        <v>4755.2950734414499</v>
      </c>
    </row>
    <row r="168" spans="1:6" x14ac:dyDescent="0.25">
      <c r="A168">
        <v>111</v>
      </c>
      <c r="B168">
        <f t="shared" si="8"/>
        <v>383.15</v>
      </c>
      <c r="C168">
        <v>4698</v>
      </c>
      <c r="D168" s="4">
        <f t="shared" si="9"/>
        <v>110.93184251310134</v>
      </c>
      <c r="E168" s="4">
        <f t="shared" si="10"/>
        <v>6.8157486898655861E-2</v>
      </c>
      <c r="F168">
        <f t="shared" si="11"/>
        <v>4625.4962758529346</v>
      </c>
    </row>
    <row r="169" spans="1:6" x14ac:dyDescent="0.25">
      <c r="A169">
        <v>112</v>
      </c>
      <c r="B169">
        <f t="shared" si="8"/>
        <v>384.15</v>
      </c>
      <c r="C169">
        <v>4566</v>
      </c>
      <c r="D169" s="4">
        <f t="shared" si="9"/>
        <v>111.93363979583785</v>
      </c>
      <c r="E169" s="4">
        <f t="shared" si="10"/>
        <v>6.6360204162151604E-2</v>
      </c>
      <c r="F169">
        <f t="shared" si="11"/>
        <v>4499.8887375451459</v>
      </c>
    </row>
    <row r="170" spans="1:6" x14ac:dyDescent="0.25">
      <c r="A170">
        <v>113</v>
      </c>
      <c r="B170">
        <f t="shared" si="8"/>
        <v>385.15</v>
      </c>
      <c r="C170">
        <v>4438</v>
      </c>
      <c r="D170" s="4">
        <f t="shared" si="9"/>
        <v>112.93781529953299</v>
      </c>
      <c r="E170" s="4">
        <f t="shared" si="10"/>
        <v>6.2184700467014409E-2</v>
      </c>
      <c r="F170">
        <f t="shared" si="11"/>
        <v>4378.3180217219824</v>
      </c>
    </row>
    <row r="171" spans="1:6" x14ac:dyDescent="0.25">
      <c r="A171">
        <v>114</v>
      </c>
      <c r="B171">
        <f t="shared" si="8"/>
        <v>386.15</v>
      </c>
      <c r="C171">
        <v>4314</v>
      </c>
      <c r="D171" s="4">
        <f t="shared" si="9"/>
        <v>113.94330986879351</v>
      </c>
      <c r="E171" s="4">
        <f t="shared" si="10"/>
        <v>5.6690131206494243E-2</v>
      </c>
      <c r="F171">
        <f t="shared" si="11"/>
        <v>4260.6360428519447</v>
      </c>
    </row>
    <row r="172" spans="1:6" x14ac:dyDescent="0.25">
      <c r="A172">
        <v>115</v>
      </c>
      <c r="B172">
        <f t="shared" si="8"/>
        <v>387.15</v>
      </c>
      <c r="C172">
        <v>4194</v>
      </c>
      <c r="D172" s="4">
        <f t="shared" si="9"/>
        <v>114.94895931572739</v>
      </c>
      <c r="E172" s="4">
        <f t="shared" si="10"/>
        <v>5.1040684272606995E-2</v>
      </c>
      <c r="F172">
        <f t="shared" si="11"/>
        <v>4146.7007795885374</v>
      </c>
    </row>
    <row r="173" spans="1:6" x14ac:dyDescent="0.25">
      <c r="A173">
        <v>116</v>
      </c>
      <c r="B173">
        <f t="shared" si="8"/>
        <v>388.15</v>
      </c>
      <c r="C173">
        <v>4077</v>
      </c>
      <c r="D173" s="4">
        <f t="shared" si="9"/>
        <v>115.96229275434263</v>
      </c>
      <c r="E173" s="4">
        <f t="shared" si="10"/>
        <v>3.7707245657372823E-2</v>
      </c>
      <c r="F173">
        <f t="shared" si="11"/>
        <v>4036.3760017911595</v>
      </c>
    </row>
    <row r="174" spans="1:6" x14ac:dyDescent="0.25">
      <c r="A174">
        <v>117</v>
      </c>
      <c r="B174">
        <f t="shared" si="8"/>
        <v>389.15</v>
      </c>
      <c r="C174">
        <v>3965</v>
      </c>
      <c r="D174" s="4">
        <f t="shared" si="9"/>
        <v>116.96460176688447</v>
      </c>
      <c r="E174" s="4">
        <f t="shared" si="10"/>
        <v>3.5398233115529365E-2</v>
      </c>
      <c r="F174">
        <f t="shared" si="11"/>
        <v>3929.5310109005054</v>
      </c>
    </row>
    <row r="175" spans="1:6" x14ac:dyDescent="0.25">
      <c r="A175">
        <v>118</v>
      </c>
      <c r="B175">
        <f t="shared" si="8"/>
        <v>390.15</v>
      </c>
      <c r="C175">
        <v>3856</v>
      </c>
      <c r="D175" s="4">
        <f t="shared" si="9"/>
        <v>117.97229000629392</v>
      </c>
      <c r="E175" s="4">
        <f t="shared" si="10"/>
        <v>2.7709993706082514E-2</v>
      </c>
      <c r="F175">
        <f t="shared" si="11"/>
        <v>3826.0403929647568</v>
      </c>
    </row>
    <row r="176" spans="1:6" x14ac:dyDescent="0.25">
      <c r="A176">
        <v>119</v>
      </c>
      <c r="B176">
        <f t="shared" si="8"/>
        <v>391.15</v>
      </c>
      <c r="C176">
        <v>3751</v>
      </c>
      <c r="D176" s="4">
        <f t="shared" si="9"/>
        <v>118.97493653406025</v>
      </c>
      <c r="E176" s="4">
        <f t="shared" si="10"/>
        <v>2.506346593975195E-2</v>
      </c>
      <c r="F176">
        <f t="shared" si="11"/>
        <v>3725.783783652359</v>
      </c>
    </row>
    <row r="177" spans="1:6" x14ac:dyDescent="0.25">
      <c r="A177">
        <v>120</v>
      </c>
      <c r="B177">
        <f t="shared" si="8"/>
        <v>392.15</v>
      </c>
      <c r="C177">
        <v>3649</v>
      </c>
      <c r="D177" s="4">
        <f t="shared" si="9"/>
        <v>119.98081381980654</v>
      </c>
      <c r="E177" s="4">
        <f t="shared" si="10"/>
        <v>1.9186180193457858E-2</v>
      </c>
      <c r="F177">
        <f t="shared" si="11"/>
        <v>3628.6456446247348</v>
      </c>
    </row>
    <row r="178" spans="1:6" x14ac:dyDescent="0.25">
      <c r="A178">
        <v>121</v>
      </c>
      <c r="B178">
        <f t="shared" si="8"/>
        <v>393.15</v>
      </c>
      <c r="C178">
        <v>3551</v>
      </c>
      <c r="D178" s="4">
        <f t="shared" si="9"/>
        <v>120.97866390592679</v>
      </c>
      <c r="E178" s="4">
        <f t="shared" si="10"/>
        <v>2.1336094073205913E-2</v>
      </c>
      <c r="F178">
        <f t="shared" si="11"/>
        <v>3534.5150506770424</v>
      </c>
    </row>
    <row r="179" spans="1:6" x14ac:dyDescent="0.25">
      <c r="A179">
        <v>122</v>
      </c>
      <c r="B179">
        <f t="shared" si="8"/>
        <v>394.15</v>
      </c>
      <c r="C179">
        <v>3455</v>
      </c>
      <c r="D179" s="4">
        <f t="shared" si="9"/>
        <v>121.98784310370496</v>
      </c>
      <c r="E179" s="4">
        <f t="shared" si="10"/>
        <v>1.2156896295039132E-2</v>
      </c>
      <c r="F179">
        <f t="shared" si="11"/>
        <v>3443.2854870882825</v>
      </c>
    </row>
    <row r="180" spans="1:6" x14ac:dyDescent="0.25">
      <c r="A180">
        <v>123</v>
      </c>
      <c r="B180">
        <f t="shared" si="8"/>
        <v>395.15</v>
      </c>
      <c r="C180">
        <v>3363</v>
      </c>
      <c r="D180" s="4">
        <f t="shared" si="9"/>
        <v>122.98620692733152</v>
      </c>
      <c r="E180" s="4">
        <f t="shared" si="10"/>
        <v>1.379307266847718E-2</v>
      </c>
      <c r="F180">
        <f t="shared" si="11"/>
        <v>3354.854656653034</v>
      </c>
    </row>
    <row r="181" spans="1:6" x14ac:dyDescent="0.25">
      <c r="A181">
        <v>124</v>
      </c>
      <c r="B181">
        <f t="shared" si="8"/>
        <v>396.15</v>
      </c>
      <c r="C181">
        <v>3273</v>
      </c>
      <c r="D181" s="4">
        <f t="shared" si="9"/>
        <v>123.99425422792376</v>
      </c>
      <c r="E181" s="4">
        <f t="shared" si="10"/>
        <v>5.7457720762386089E-3</v>
      </c>
      <c r="F181">
        <f t="shared" si="11"/>
        <v>3269.1242958962525</v>
      </c>
    </row>
    <row r="182" spans="1:6" x14ac:dyDescent="0.25">
      <c r="A182">
        <v>125</v>
      </c>
      <c r="B182">
        <f t="shared" si="8"/>
        <v>397.15</v>
      </c>
      <c r="C182">
        <v>3186</v>
      </c>
      <c r="D182" s="4">
        <f t="shared" si="9"/>
        <v>125</v>
      </c>
      <c r="E182" s="4">
        <f t="shared" si="10"/>
        <v>0</v>
      </c>
      <c r="F182">
        <f t="shared" si="11"/>
        <v>3185.9999999999964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HotBed</vt:lpstr>
      <vt:lpstr>hotend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Morroway</dc:creator>
  <cp:lastModifiedBy>Morroway</cp:lastModifiedBy>
  <dcterms:created xsi:type="dcterms:W3CDTF">2022-07-23T17:28:07Z</dcterms:created>
  <dcterms:modified xsi:type="dcterms:W3CDTF">2023-04-22T22:51:22Z</dcterms:modified>
</cp:coreProperties>
</file>