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ZQ/Desktop/Case Challenge/"/>
    </mc:Choice>
  </mc:AlternateContent>
  <bookViews>
    <workbookView xWindow="0" yWindow="0" windowWidth="27320" windowHeight="15360" tabRatio="500"/>
  </bookViews>
  <sheets>
    <sheet name="KPIs" sheetId="2" r:id="rId1"/>
    <sheet name="Taxation Breakdown" sheetId="3" r:id="rId2"/>
    <sheet name="Economy Breakdown" sheetId="6" r:id="rId3"/>
    <sheet name="Education Breakdown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3" l="1"/>
  <c r="C46" i="3"/>
  <c r="C47" i="3"/>
  <c r="C48" i="3"/>
  <c r="C49" i="3"/>
  <c r="C50" i="3"/>
  <c r="C51" i="3"/>
  <c r="C52" i="3"/>
  <c r="C53" i="3"/>
  <c r="C44" i="3"/>
  <c r="B54" i="3"/>
  <c r="B45" i="3"/>
  <c r="B46" i="3"/>
  <c r="B47" i="3"/>
  <c r="B48" i="3"/>
  <c r="B49" i="3"/>
  <c r="B50" i="3"/>
  <c r="B51" i="3"/>
  <c r="B52" i="3"/>
  <c r="B53" i="3"/>
  <c r="B44" i="3"/>
  <c r="C12" i="2"/>
  <c r="C14" i="2"/>
  <c r="C19" i="2"/>
  <c r="D19" i="2"/>
  <c r="E19" i="2"/>
  <c r="F19" i="2"/>
  <c r="G19" i="2"/>
  <c r="B19" i="2"/>
  <c r="B11" i="2"/>
  <c r="C7" i="2"/>
  <c r="C9" i="2"/>
  <c r="C21" i="2"/>
  <c r="F16" i="2"/>
  <c r="C2" i="6"/>
  <c r="D2" i="6"/>
  <c r="E2" i="6"/>
  <c r="C13" i="2"/>
  <c r="C6" i="6"/>
  <c r="D6" i="6"/>
  <c r="E6" i="6"/>
  <c r="F6" i="6"/>
  <c r="B6" i="6"/>
  <c r="C5" i="6"/>
  <c r="D5" i="6"/>
  <c r="E5" i="6"/>
  <c r="F5" i="6"/>
  <c r="B5" i="6"/>
  <c r="D13" i="2"/>
  <c r="D14" i="2"/>
  <c r="D21" i="2"/>
  <c r="E13" i="2"/>
  <c r="E14" i="2"/>
  <c r="E21" i="2"/>
  <c r="F13" i="2"/>
  <c r="F14" i="2"/>
  <c r="F21" i="2"/>
  <c r="G13" i="2"/>
  <c r="G14" i="2"/>
  <c r="G21" i="2"/>
  <c r="H19" i="2"/>
  <c r="C22" i="2"/>
  <c r="C23" i="2"/>
  <c r="D22" i="2"/>
  <c r="D23" i="2"/>
  <c r="E22" i="2"/>
  <c r="E23" i="2"/>
  <c r="F22" i="2"/>
  <c r="F23" i="2"/>
  <c r="G22" i="2"/>
  <c r="G23" i="2"/>
  <c r="H23" i="2"/>
  <c r="C4" i="6"/>
  <c r="D4" i="6"/>
  <c r="E4" i="6"/>
  <c r="F4" i="6"/>
  <c r="B4" i="6"/>
  <c r="B35" i="3"/>
  <c r="B38" i="3"/>
  <c r="B41" i="3"/>
  <c r="C35" i="3"/>
  <c r="B40" i="3"/>
  <c r="C41" i="3"/>
  <c r="D9" i="2"/>
  <c r="E9" i="2"/>
  <c r="F9" i="2"/>
  <c r="G9" i="2"/>
  <c r="B3" i="2"/>
  <c r="C3" i="2"/>
  <c r="C2" i="2"/>
  <c r="C11" i="2"/>
  <c r="C8" i="2"/>
  <c r="C16" i="2"/>
  <c r="D3" i="2"/>
  <c r="E3" i="2"/>
  <c r="F3" i="2"/>
  <c r="F2" i="2"/>
  <c r="F4" i="5"/>
  <c r="D2" i="5"/>
  <c r="D6" i="5"/>
  <c r="D7" i="5"/>
  <c r="B22" i="2"/>
  <c r="D8" i="2"/>
  <c r="D7" i="2"/>
  <c r="E8" i="2"/>
  <c r="E7" i="2"/>
  <c r="F8" i="2"/>
  <c r="F7" i="2"/>
  <c r="G8" i="2"/>
  <c r="G7" i="2"/>
  <c r="D2" i="2"/>
  <c r="D16" i="2"/>
  <c r="E2" i="2"/>
  <c r="E16" i="2"/>
  <c r="G3" i="2"/>
  <c r="G2" i="2"/>
  <c r="G16" i="2"/>
  <c r="E2" i="5"/>
  <c r="F2" i="5"/>
  <c r="G2" i="5"/>
  <c r="H2" i="5"/>
  <c r="G4" i="5"/>
  <c r="H4" i="5"/>
  <c r="H6" i="5"/>
  <c r="H7" i="5"/>
  <c r="G12" i="2"/>
  <c r="G11" i="2"/>
  <c r="E6" i="5"/>
  <c r="E7" i="5"/>
  <c r="D12" i="2"/>
  <c r="F6" i="5"/>
  <c r="F7" i="5"/>
  <c r="E12" i="2"/>
  <c r="G6" i="5"/>
  <c r="G7" i="5"/>
  <c r="F12" i="2"/>
  <c r="H5" i="5"/>
  <c r="B21" i="2"/>
  <c r="D11" i="2"/>
  <c r="E11" i="2"/>
  <c r="F11" i="2"/>
  <c r="D3" i="5"/>
  <c r="E3" i="5"/>
  <c r="F3" i="5"/>
  <c r="G3" i="5"/>
  <c r="H3" i="5"/>
  <c r="D8" i="5"/>
  <c r="E8" i="5"/>
  <c r="F8" i="5"/>
  <c r="G8" i="5"/>
  <c r="H8" i="5"/>
  <c r="I8" i="5"/>
  <c r="D9" i="5"/>
  <c r="E9" i="5"/>
  <c r="F9" i="5"/>
  <c r="G9" i="5"/>
  <c r="H9" i="5"/>
  <c r="I9" i="5"/>
  <c r="F10" i="5"/>
  <c r="G10" i="5"/>
  <c r="H10" i="5"/>
  <c r="I10" i="5"/>
  <c r="D11" i="5"/>
  <c r="E11" i="5"/>
  <c r="F11" i="5"/>
  <c r="G11" i="5"/>
  <c r="H11" i="5"/>
  <c r="I11" i="5"/>
  <c r="D12" i="5"/>
  <c r="E12" i="5"/>
  <c r="F12" i="5"/>
  <c r="G12" i="5"/>
  <c r="H12" i="5"/>
  <c r="I12" i="5"/>
  <c r="K3" i="3"/>
  <c r="K4" i="3"/>
  <c r="K5" i="3"/>
  <c r="K6" i="3"/>
  <c r="K7" i="3"/>
  <c r="K8" i="3"/>
  <c r="K9" i="3"/>
  <c r="K10" i="3"/>
  <c r="K11" i="3"/>
  <c r="K12" i="3"/>
  <c r="B3" i="3"/>
  <c r="D2" i="3"/>
  <c r="B4" i="3"/>
  <c r="D3" i="3"/>
  <c r="B5" i="3"/>
  <c r="D4" i="3"/>
  <c r="B6" i="3"/>
  <c r="D5" i="3"/>
  <c r="B7" i="3"/>
  <c r="D6" i="3"/>
  <c r="B8" i="3"/>
  <c r="D7" i="3"/>
  <c r="B9" i="3"/>
  <c r="D8" i="3"/>
  <c r="B10" i="3"/>
  <c r="D9" i="3"/>
  <c r="B11" i="3"/>
  <c r="D10" i="3"/>
  <c r="D12" i="3"/>
  <c r="D13" i="3"/>
  <c r="D14" i="3"/>
  <c r="I4" i="3"/>
  <c r="I5" i="3"/>
  <c r="I6" i="3"/>
  <c r="I7" i="3"/>
  <c r="I8" i="3"/>
  <c r="I9" i="3"/>
  <c r="I10" i="3"/>
  <c r="I11" i="3"/>
  <c r="I12" i="3"/>
  <c r="M4" i="3"/>
  <c r="M5" i="3"/>
  <c r="M6" i="3"/>
  <c r="M7" i="3"/>
  <c r="M8" i="3"/>
  <c r="M9" i="3"/>
  <c r="M10" i="3"/>
  <c r="M11" i="3"/>
  <c r="M12" i="3"/>
  <c r="M3" i="3"/>
</calcChain>
</file>

<file path=xl/sharedStrings.xml><?xml version="1.0" encoding="utf-8"?>
<sst xmlns="http://schemas.openxmlformats.org/spreadsheetml/2006/main" count="87" uniqueCount="77">
  <si>
    <t>Government revenue</t>
  </si>
  <si>
    <t>Inflation</t>
  </si>
  <si>
    <t>Area B</t>
  </si>
  <si>
    <t>Area A</t>
  </si>
  <si>
    <t>gini coeff</t>
  </si>
  <si>
    <t>Gini Coefficient Calculation</t>
  </si>
  <si>
    <t>Cumulative</t>
  </si>
  <si>
    <t>Percentile</t>
  </si>
  <si>
    <t>Before Change</t>
  </si>
  <si>
    <t>After Change</t>
  </si>
  <si>
    <t>Change</t>
  </si>
  <si>
    <t>Total Income Calculation</t>
  </si>
  <si>
    <t>Income=GDP-Net Export</t>
  </si>
  <si>
    <t>GDP 2.4 trillion</t>
  </si>
  <si>
    <t xml:space="preserve">Export </t>
  </si>
  <si>
    <t>import</t>
  </si>
  <si>
    <t>NetExport</t>
  </si>
  <si>
    <t xml:space="preserve">Budget deficit </t>
  </si>
  <si>
    <t xml:space="preserve">population </t>
  </si>
  <si>
    <t>Population Percentage</t>
  </si>
  <si>
    <t>Income Share After Change</t>
  </si>
  <si>
    <t>Income Share Before Change</t>
  </si>
  <si>
    <t xml:space="preserve">Average Individual Income at Gini coeff=51.4% /ESO$ </t>
  </si>
  <si>
    <t>Percentage of People by Income /%</t>
  </si>
  <si>
    <t>Average Individual Income at Gini Coeff=35% /ESO$ (in 5 years)</t>
  </si>
  <si>
    <t xml:space="preserve">Real GDP </t>
  </si>
  <si>
    <t>Current 2015</t>
  </si>
  <si>
    <t>Real GDP Growth Baseline</t>
  </si>
  <si>
    <t>GDP Baseline</t>
  </si>
  <si>
    <t>Predicted GDP</t>
  </si>
  <si>
    <t>Predicted Real GDP Growth</t>
  </si>
  <si>
    <t>Predicted Real GDP</t>
  </si>
  <si>
    <t>Govn. Revenue Baseline</t>
  </si>
  <si>
    <t>Extra Revenue from Taxation</t>
  </si>
  <si>
    <t>Govn. Spending Baseline</t>
  </si>
  <si>
    <t>Extra Education Spending</t>
  </si>
  <si>
    <t>Predicted Govn. Spending</t>
  </si>
  <si>
    <t>Predicted Govn. Deficit</t>
  </si>
  <si>
    <t>Total</t>
  </si>
  <si>
    <t>Reduced Brain-Drain</t>
  </si>
  <si>
    <t>Student Loan</t>
  </si>
  <si>
    <t>Technical School</t>
  </si>
  <si>
    <t>Pedagogy</t>
  </si>
  <si>
    <t>Labor Produced</t>
  </si>
  <si>
    <t>ESO</t>
  </si>
  <si>
    <t>Only implement in year five after economy goes up</t>
  </si>
  <si>
    <t>Compulsory Education</t>
  </si>
  <si>
    <t>Subsidize 1000 students per school (250 each grade)</t>
  </si>
  <si>
    <t>Assume produce 2000 qualified labor per school</t>
  </si>
  <si>
    <t>Assume produce 200 qualified labor</t>
  </si>
  <si>
    <t>Pedagody</t>
  </si>
  <si>
    <t>Cost Analysis</t>
  </si>
  <si>
    <t>Explanations</t>
  </si>
  <si>
    <t>Year</t>
  </si>
  <si>
    <t>Predicted Govn. Revenue</t>
  </si>
  <si>
    <t>Billion</t>
  </si>
  <si>
    <t>Predicted SME Contribution to GDP</t>
  </si>
  <si>
    <t>Notes:</t>
  </si>
  <si>
    <t>Assume consistent 2.5% growth rate</t>
  </si>
  <si>
    <t>Accounting for inflation</t>
  </si>
  <si>
    <t>Assume stable inflation rate</t>
  </si>
  <si>
    <t>Extra Economic Subsidies</t>
  </si>
  <si>
    <t>Consisting of increased income tax, luxury tax and inheritance tax</t>
  </si>
  <si>
    <t>Calculated from given government deficit</t>
  </si>
  <si>
    <t>Used for Education Reform</t>
  </si>
  <si>
    <t>Used for Economic Structure Transformation</t>
  </si>
  <si>
    <t>Airport Expansion</t>
  </si>
  <si>
    <t>National Airline</t>
  </si>
  <si>
    <t>Tourism</t>
  </si>
  <si>
    <t>Subsidies for SME</t>
  </si>
  <si>
    <t>Notes</t>
  </si>
  <si>
    <t>Subsidize 500 family-based tourism every year</t>
  </si>
  <si>
    <t>Subsidy for SMEs that want to start in CIP</t>
  </si>
  <si>
    <t>The rest of the funding comes from Public-Private Partnership</t>
  </si>
  <si>
    <t>1.7-billion USD for large airport, 1.3-billion USD for medium-sized airport. Government subsidizes 60% of the investments.</t>
  </si>
  <si>
    <t>Based on natural growth rate, it includes the growth in government spending, investments and exports stimulated by government's new economic policies.</t>
  </si>
  <si>
    <t>Billion (ESO)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</si>
</sst>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&quot;$&quot;#,##0.00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4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9" fontId="0" fillId="2" borderId="1" xfId="0" applyNumberFormat="1" applyFill="1" applyBorder="1"/>
    <xf numFmtId="0" fontId="0" fillId="2" borderId="1" xfId="0" applyFont="1" applyFill="1" applyBorder="1"/>
    <xf numFmtId="9" fontId="0" fillId="4" borderId="1" xfId="0" applyNumberFormat="1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0" fontId="2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2" fillId="0" borderId="0" xfId="1" applyNumberFormat="1" applyFont="1"/>
    <xf numFmtId="1" fontId="2" fillId="0" borderId="0" xfId="0" applyNumberFormat="1" applyFont="1"/>
    <xf numFmtId="166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</a:t>
            </a:r>
            <a:r>
              <a:rPr lang="en-US" baseline="0"/>
              <a:t> Coefficient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015990451334486"/>
                  <c:y val="-2.5949439210080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'Taxation Breakdown'!$A$2:$A$11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'Taxation Breakdown'!$B$2:$B$11</c:f>
              <c:numCache>
                <c:formatCode>General</c:formatCode>
                <c:ptCount val="10"/>
                <c:pt idx="0">
                  <c:v>1.0</c:v>
                </c:pt>
                <c:pt idx="1">
                  <c:v>7.0</c:v>
                </c:pt>
                <c:pt idx="2">
                  <c:v>13.0</c:v>
                </c:pt>
                <c:pt idx="3">
                  <c:v>20.0</c:v>
                </c:pt>
                <c:pt idx="4">
                  <c:v>28.0</c:v>
                </c:pt>
                <c:pt idx="5">
                  <c:v>36.5</c:v>
                </c:pt>
                <c:pt idx="6">
                  <c:v>46.5</c:v>
                </c:pt>
                <c:pt idx="7">
                  <c:v>57.0</c:v>
                </c:pt>
                <c:pt idx="8">
                  <c:v>68.0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65344"/>
        <c:axId val="2102891808"/>
      </c:scatterChart>
      <c:valAx>
        <c:axId val="-21422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91808"/>
        <c:crosses val="autoZero"/>
        <c:crossBetween val="midCat"/>
      </c:valAx>
      <c:valAx>
        <c:axId val="21028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2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 Income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Change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'Taxation Breakdown'!$G$3:$G$12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'Taxation Breakdown'!$H$3:$H$12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5.5</c:v>
                </c:pt>
                <c:pt idx="3">
                  <c:v>9.5</c:v>
                </c:pt>
                <c:pt idx="4">
                  <c:v>15.5</c:v>
                </c:pt>
                <c:pt idx="5">
                  <c:v>23.5</c:v>
                </c:pt>
                <c:pt idx="6">
                  <c:v>33.5</c:v>
                </c:pt>
                <c:pt idx="7">
                  <c:v>45.0</c:v>
                </c:pt>
                <c:pt idx="8">
                  <c:v>57.0</c:v>
                </c:pt>
                <c:pt idx="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v>After Change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'Taxation Breakdown'!$G$3:$G$12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'Taxation Breakdown'!$K$3:$K$12</c:f>
              <c:numCache>
                <c:formatCode>General</c:formatCode>
                <c:ptCount val="10"/>
                <c:pt idx="0">
                  <c:v>2.5</c:v>
                </c:pt>
                <c:pt idx="1">
                  <c:v>7.0</c:v>
                </c:pt>
                <c:pt idx="2">
                  <c:v>13.0</c:v>
                </c:pt>
                <c:pt idx="3">
                  <c:v>20.0</c:v>
                </c:pt>
                <c:pt idx="4">
                  <c:v>28.0</c:v>
                </c:pt>
                <c:pt idx="5">
                  <c:v>36.5</c:v>
                </c:pt>
                <c:pt idx="6">
                  <c:v>46.5</c:v>
                </c:pt>
                <c:pt idx="7">
                  <c:v>57.0</c:v>
                </c:pt>
                <c:pt idx="8">
                  <c:v>68.0</c:v>
                </c:pt>
                <c:pt idx="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955344"/>
        <c:axId val="-2120363360"/>
      </c:scatterChart>
      <c:valAx>
        <c:axId val="-20329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Population by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363360"/>
        <c:crosses val="autoZero"/>
        <c:crossBetween val="midCat"/>
      </c:valAx>
      <c:valAx>
        <c:axId val="-21203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Total Income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60476</xdr:rowOff>
    </xdr:from>
    <xdr:to>
      <xdr:col>3</xdr:col>
      <xdr:colOff>271123</xdr:colOff>
      <xdr:row>31</xdr:row>
      <xdr:rowOff>5843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877108</xdr:colOff>
      <xdr:row>15</xdr:row>
      <xdr:rowOff>103284</xdr:rowOff>
    </xdr:from>
    <xdr:to>
      <xdr:col>9</xdr:col>
      <xdr:colOff>5843</xdr:colOff>
      <xdr:row>31</xdr:row>
      <xdr:rowOff>108123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3"/>
  <sheetViews>
    <sheetView tabSelected="1" zoomScale="119" workbookViewId="0">
      <selection activeCell="I19" sqref="I19"/>
    </sheetView>
  </sheetViews>
  <sheetFormatPr baseColWidth="10" defaultRowHeight="16" x14ac:dyDescent="0.2"/>
  <cols>
    <col min="1" max="1" width="29.83203125" style="26" bestFit="1" customWidth="1"/>
    <col min="2" max="2" width="17" style="26" customWidth="1"/>
    <col min="3" max="7" width="11.6640625" style="26" bestFit="1" customWidth="1"/>
    <col min="8" max="8" width="11" style="26" bestFit="1" customWidth="1"/>
    <col min="9" max="16384" width="10.83203125" style="26"/>
  </cols>
  <sheetData>
    <row r="1" spans="1:9" s="27" customFormat="1" x14ac:dyDescent="0.2">
      <c r="A1" s="27" t="s">
        <v>76</v>
      </c>
      <c r="B1" s="27" t="s">
        <v>26</v>
      </c>
      <c r="C1" s="29">
        <v>1</v>
      </c>
      <c r="D1" s="29">
        <v>2</v>
      </c>
      <c r="E1" s="29">
        <v>3</v>
      </c>
      <c r="F1" s="29">
        <v>4</v>
      </c>
      <c r="G1" s="29">
        <v>5</v>
      </c>
      <c r="I1" s="27" t="s">
        <v>57</v>
      </c>
    </row>
    <row r="2" spans="1:9" x14ac:dyDescent="0.2">
      <c r="A2" s="26" t="s">
        <v>28</v>
      </c>
      <c r="B2" s="26">
        <v>2400</v>
      </c>
      <c r="C2" s="26">
        <f>C3*(1+C5)</f>
        <v>2459.9999999999995</v>
      </c>
      <c r="D2" s="26">
        <f>D3*(1+D5)</f>
        <v>2521.4999999999991</v>
      </c>
      <c r="E2" s="26">
        <f>E3*(1+E5)</f>
        <v>2584.537499999999</v>
      </c>
      <c r="F2" s="26">
        <f>F3*(1+F5)</f>
        <v>2649.1509374999991</v>
      </c>
      <c r="G2" s="26">
        <f>G3*(1+G5)</f>
        <v>2715.3797109374987</v>
      </c>
      <c r="I2" s="26" t="s">
        <v>58</v>
      </c>
    </row>
    <row r="3" spans="1:9" x14ac:dyDescent="0.2">
      <c r="A3" s="26" t="s">
        <v>25</v>
      </c>
      <c r="B3" s="26">
        <f>2400/(1+B5)</f>
        <v>2283.5394862036155</v>
      </c>
      <c r="C3" s="26">
        <f>B3*(1+B4)</f>
        <v>2340.6279733587057</v>
      </c>
      <c r="D3" s="26">
        <f>C3*(1+C4)</f>
        <v>2399.1436726926731</v>
      </c>
      <c r="E3" s="26">
        <f t="shared" ref="E3:G3" si="0">D3*(1+D4)</f>
        <v>2459.1222645099897</v>
      </c>
      <c r="F3" s="26">
        <f t="shared" si="0"/>
        <v>2520.6003211227394</v>
      </c>
      <c r="G3" s="26">
        <f t="shared" si="0"/>
        <v>2583.6153291508076</v>
      </c>
      <c r="I3" s="26" t="s">
        <v>59</v>
      </c>
    </row>
    <row r="4" spans="1:9" x14ac:dyDescent="0.2">
      <c r="A4" s="26" t="s">
        <v>27</v>
      </c>
      <c r="B4" s="30">
        <v>2.5000000000000001E-2</v>
      </c>
      <c r="C4" s="30">
        <v>2.5000000000000001E-2</v>
      </c>
      <c r="D4" s="30">
        <v>2.5000000000000001E-2</v>
      </c>
      <c r="E4" s="30">
        <v>2.5000000000000001E-2</v>
      </c>
      <c r="F4" s="30">
        <v>2.5000000000000001E-2</v>
      </c>
      <c r="G4" s="30">
        <v>2.5000000000000001E-2</v>
      </c>
    </row>
    <row r="5" spans="1:9" x14ac:dyDescent="0.2">
      <c r="A5" s="26" t="s">
        <v>1</v>
      </c>
      <c r="B5" s="30">
        <v>5.0999999999999997E-2</v>
      </c>
      <c r="C5" s="30">
        <v>5.0999999999999997E-2</v>
      </c>
      <c r="D5" s="30">
        <v>5.0999999999999997E-2</v>
      </c>
      <c r="E5" s="30">
        <v>5.0999999999999997E-2</v>
      </c>
      <c r="F5" s="30">
        <v>5.0999999999999997E-2</v>
      </c>
      <c r="G5" s="30">
        <v>5.0999999999999997E-2</v>
      </c>
      <c r="I5" s="26" t="s">
        <v>60</v>
      </c>
    </row>
    <row r="7" spans="1:9" x14ac:dyDescent="0.2">
      <c r="A7" s="26" t="s">
        <v>32</v>
      </c>
      <c r="B7" s="26">
        <v>560</v>
      </c>
      <c r="C7" s="26">
        <f>B7*(1+C4)</f>
        <v>574</v>
      </c>
      <c r="D7" s="26">
        <f t="shared" ref="D7:G7" si="1">C7*(1+D4)</f>
        <v>588.34999999999991</v>
      </c>
      <c r="E7" s="26">
        <f t="shared" si="1"/>
        <v>603.0587499999998</v>
      </c>
      <c r="F7" s="26">
        <f t="shared" si="1"/>
        <v>618.13521874999969</v>
      </c>
      <c r="G7" s="26">
        <f t="shared" si="1"/>
        <v>633.58859921874966</v>
      </c>
    </row>
    <row r="8" spans="1:9" x14ac:dyDescent="0.2">
      <c r="A8" s="26" t="s">
        <v>33</v>
      </c>
      <c r="B8" s="26">
        <v>41.27</v>
      </c>
      <c r="C8" s="26">
        <f>B8*(1+C4)</f>
        <v>42.301749999999998</v>
      </c>
      <c r="D8" s="26">
        <f t="shared" ref="D8:G8" si="2">C8*(1+D4)</f>
        <v>43.359293749999992</v>
      </c>
      <c r="E8" s="26">
        <f t="shared" si="2"/>
        <v>44.443276093749986</v>
      </c>
      <c r="F8" s="26">
        <f t="shared" si="2"/>
        <v>45.554357996093735</v>
      </c>
      <c r="G8" s="26">
        <f t="shared" si="2"/>
        <v>46.693216945996078</v>
      </c>
      <c r="I8" s="26" t="s">
        <v>62</v>
      </c>
    </row>
    <row r="9" spans="1:9" x14ac:dyDescent="0.2">
      <c r="A9" s="26" t="s">
        <v>54</v>
      </c>
      <c r="C9" s="26">
        <f>C7+C8</f>
        <v>616.30174999999997</v>
      </c>
      <c r="D9" s="26">
        <f t="shared" ref="D9:G9" si="3">D7+D8</f>
        <v>631.70929374999992</v>
      </c>
      <c r="E9" s="26">
        <f t="shared" si="3"/>
        <v>647.50202609374981</v>
      </c>
      <c r="F9" s="26">
        <f t="shared" si="3"/>
        <v>663.68957674609339</v>
      </c>
      <c r="G9" s="26">
        <f t="shared" si="3"/>
        <v>680.28181616474569</v>
      </c>
    </row>
    <row r="11" spans="1:9" x14ac:dyDescent="0.2">
      <c r="A11" s="26" t="s">
        <v>34</v>
      </c>
      <c r="B11" s="26">
        <f>B2*0.052+B7</f>
        <v>684.8</v>
      </c>
      <c r="C11" s="26">
        <f t="shared" ref="C11:G11" si="4">C2*0.052+C7</f>
        <v>701.92</v>
      </c>
      <c r="D11" s="26">
        <f t="shared" si="4"/>
        <v>719.46799999999985</v>
      </c>
      <c r="E11" s="26">
        <f t="shared" si="4"/>
        <v>737.45469999999978</v>
      </c>
      <c r="F11" s="26">
        <f t="shared" si="4"/>
        <v>755.89106749999962</v>
      </c>
      <c r="G11" s="26">
        <f t="shared" si="4"/>
        <v>774.78834418749955</v>
      </c>
      <c r="I11" s="26" t="s">
        <v>63</v>
      </c>
    </row>
    <row r="12" spans="1:9" x14ac:dyDescent="0.2">
      <c r="A12" s="26" t="s">
        <v>35</v>
      </c>
      <c r="C12" s="26">
        <f>'Education Breakdown'!D7</f>
        <v>2.5916666666666663</v>
      </c>
      <c r="D12" s="26">
        <f>'Education Breakdown'!E7</f>
        <v>2.5916666666666663</v>
      </c>
      <c r="E12" s="26">
        <f>'Education Breakdown'!F7</f>
        <v>2.9539166666666663</v>
      </c>
      <c r="F12" s="26">
        <f>'Education Breakdown'!G7</f>
        <v>2.9539166666666663</v>
      </c>
      <c r="G12" s="26">
        <f>'Education Breakdown'!H7</f>
        <v>10.933916666666667</v>
      </c>
      <c r="I12" s="26" t="s">
        <v>64</v>
      </c>
    </row>
    <row r="13" spans="1:9" x14ac:dyDescent="0.2">
      <c r="A13" s="26" t="s">
        <v>61</v>
      </c>
      <c r="C13" s="26">
        <f>'Economy Breakdown'!B6</f>
        <v>0.95187500000000003</v>
      </c>
      <c r="D13" s="26">
        <f>'Economy Breakdown'!C6</f>
        <v>2.6318749999999995</v>
      </c>
      <c r="E13" s="26">
        <f>'Economy Breakdown'!D6</f>
        <v>2.6318749999999995</v>
      </c>
      <c r="F13" s="26">
        <f>'Economy Breakdown'!E6</f>
        <v>2.6318749999999995</v>
      </c>
      <c r="G13" s="26">
        <f>'Economy Breakdown'!F6</f>
        <v>5.1875000000000004E-2</v>
      </c>
      <c r="I13" s="26" t="s">
        <v>65</v>
      </c>
    </row>
    <row r="14" spans="1:9" x14ac:dyDescent="0.2">
      <c r="A14" s="26" t="s">
        <v>36</v>
      </c>
      <c r="C14" s="26">
        <f>SUM(C11:C13)</f>
        <v>705.46354166666663</v>
      </c>
      <c r="D14" s="26">
        <f>SUM(D11:D13)</f>
        <v>724.69154166666658</v>
      </c>
      <c r="E14" s="26">
        <f>SUM(E11:E13)</f>
        <v>743.04049166666653</v>
      </c>
      <c r="F14" s="26">
        <f>SUM(F11:F13)</f>
        <v>761.47685916666637</v>
      </c>
      <c r="G14" s="26">
        <f>SUM(G11:G13)</f>
        <v>785.77413585416616</v>
      </c>
    </row>
    <row r="16" spans="1:9" x14ac:dyDescent="0.2">
      <c r="A16" s="26" t="s">
        <v>56</v>
      </c>
      <c r="C16" s="26">
        <f>(0.6-0.456)/5*C2</f>
        <v>70.847999999999971</v>
      </c>
      <c r="D16" s="26">
        <f>(0.6-0.456)/5*D2</f>
        <v>72.61919999999995</v>
      </c>
      <c r="E16" s="26">
        <f>(0.6-0.456)/5*E2</f>
        <v>74.434679999999958</v>
      </c>
      <c r="F16" s="26">
        <f>(0.6-0.456)/5*F2</f>
        <v>76.295546999999956</v>
      </c>
      <c r="G16" s="26">
        <f>(0.6-0.456)/5*G2</f>
        <v>78.202935674999935</v>
      </c>
    </row>
    <row r="19" spans="1:9" x14ac:dyDescent="0.2">
      <c r="A19" s="27" t="s">
        <v>37</v>
      </c>
      <c r="B19" s="23">
        <f>0.052</f>
        <v>5.1999999999999998E-2</v>
      </c>
      <c r="C19" s="23">
        <f>(C14-C9)/C2</f>
        <v>3.6244630758807593E-2</v>
      </c>
      <c r="D19" s="23">
        <f t="shared" ref="D19:G19" si="5">(D14-D9)/D2</f>
        <v>3.6875767565602499E-2</v>
      </c>
      <c r="E19" s="23">
        <f t="shared" si="5"/>
        <v>3.6965401187994663E-2</v>
      </c>
      <c r="F19" s="23">
        <f t="shared" si="5"/>
        <v>3.6912688150889106E-2</v>
      </c>
      <c r="G19" s="23">
        <f t="shared" si="5"/>
        <v>3.8849932944736744E-2</v>
      </c>
      <c r="H19" s="26">
        <f>AVERAGE(C19:G19)</f>
        <v>3.7169684121606116E-2</v>
      </c>
    </row>
    <row r="20" spans="1:9" x14ac:dyDescent="0.2">
      <c r="B20" s="28"/>
    </row>
    <row r="21" spans="1:9" x14ac:dyDescent="0.2">
      <c r="A21" s="26" t="s">
        <v>29</v>
      </c>
      <c r="B21" s="26">
        <f>B2</f>
        <v>2400</v>
      </c>
      <c r="C21" s="26">
        <f>C2+C12+C13+C16</f>
        <v>2534.3915416666664</v>
      </c>
      <c r="D21" s="26">
        <f>D2+D12+D13+D16</f>
        <v>2599.3427416666659</v>
      </c>
      <c r="E21" s="26">
        <f>E2+E12+E13+E16</f>
        <v>2664.5579716666657</v>
      </c>
      <c r="F21" s="26">
        <f>F2+F12+F13+F16</f>
        <v>2731.0322761666662</v>
      </c>
      <c r="G21" s="26">
        <f>G2+G12+G13+G16</f>
        <v>2804.5684382791655</v>
      </c>
      <c r="I21" s="26" t="s">
        <v>75</v>
      </c>
    </row>
    <row r="22" spans="1:9" x14ac:dyDescent="0.2">
      <c r="A22" s="26" t="s">
        <v>31</v>
      </c>
      <c r="B22" s="26">
        <f>B3</f>
        <v>2283.5394862036155</v>
      </c>
      <c r="C22" s="26">
        <f>C21/(1+C5)</f>
        <v>2411.4096495401204</v>
      </c>
      <c r="D22" s="26">
        <f>D21/(1+D5)</f>
        <v>2473.2090786552485</v>
      </c>
      <c r="E22" s="26">
        <f>E21/(1+E5)</f>
        <v>2535.2597256581025</v>
      </c>
      <c r="F22" s="26">
        <f>F21/(1+F5)</f>
        <v>2598.5083503013002</v>
      </c>
      <c r="G22" s="26">
        <f>G21/(1+G5)</f>
        <v>2668.4761544045346</v>
      </c>
    </row>
    <row r="23" spans="1:9" x14ac:dyDescent="0.2">
      <c r="A23" s="27" t="s">
        <v>30</v>
      </c>
      <c r="B23" s="23">
        <v>2.5000000000000001E-2</v>
      </c>
      <c r="C23" s="23">
        <f>(C22-B22)/B22</f>
        <v>5.5996475694444443E-2</v>
      </c>
      <c r="D23" s="23">
        <f t="shared" ref="D23:G23" si="6">(D22-C22)/C22</f>
        <v>2.5627926440003189E-2</v>
      </c>
      <c r="E23" s="23">
        <f t="shared" si="6"/>
        <v>2.5089123090471857E-2</v>
      </c>
      <c r="F23" s="23">
        <f t="shared" si="6"/>
        <v>2.4947591760753271E-2</v>
      </c>
      <c r="G23" s="23">
        <f t="shared" si="6"/>
        <v>2.692614172093059E-2</v>
      </c>
      <c r="H23" s="26">
        <f>AVERAGE(C23:G23)</f>
        <v>3.1717451741320665E-2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54"/>
  <sheetViews>
    <sheetView zoomScale="75" zoomScaleNormal="59" zoomScalePageLayoutView="59" workbookViewId="0">
      <selection activeCell="C50" sqref="C50"/>
    </sheetView>
  </sheetViews>
  <sheetFormatPr baseColWidth="10" defaultRowHeight="16" x14ac:dyDescent="0.2"/>
  <cols>
    <col min="1" max="1" width="19.83203125" customWidth="1"/>
    <col min="2" max="2" width="24.83203125" customWidth="1"/>
    <col min="3" max="3" width="26.6640625" customWidth="1"/>
    <col min="4" max="4" width="21.6640625" customWidth="1"/>
    <col min="8" max="8" width="20.1640625" bestFit="1" customWidth="1"/>
    <col min="9" max="9" width="25.1640625" bestFit="1" customWidth="1"/>
    <col min="10" max="10" width="23.83203125" customWidth="1"/>
    <col min="11" max="11" width="17.83203125" customWidth="1"/>
    <col min="12" max="12" width="26.1640625" customWidth="1"/>
    <col min="13" max="13" width="24.6640625" customWidth="1"/>
  </cols>
  <sheetData>
    <row r="1" spans="1:13" ht="21" x14ac:dyDescent="0.25">
      <c r="A1" s="31" t="s">
        <v>5</v>
      </c>
      <c r="B1" s="32"/>
      <c r="C1" s="32"/>
      <c r="D1" s="32"/>
      <c r="E1" s="32"/>
      <c r="F1" s="7"/>
      <c r="G1" s="31" t="s">
        <v>8</v>
      </c>
      <c r="H1" s="31"/>
      <c r="I1" s="31"/>
      <c r="K1" s="31" t="s">
        <v>9</v>
      </c>
      <c r="L1" s="31"/>
      <c r="M1" s="31"/>
    </row>
    <row r="2" spans="1:13" x14ac:dyDescent="0.2">
      <c r="A2" s="3">
        <v>10</v>
      </c>
      <c r="B2" s="4">
        <v>1</v>
      </c>
      <c r="C2" s="3">
        <v>2.5</v>
      </c>
      <c r="D2" s="4">
        <f>(B3+B2)/2*10</f>
        <v>40</v>
      </c>
      <c r="E2" s="4"/>
      <c r="F2" s="2"/>
      <c r="G2" s="8"/>
      <c r="H2" s="9" t="s">
        <v>6</v>
      </c>
      <c r="I2" s="9" t="s">
        <v>7</v>
      </c>
      <c r="J2" s="2"/>
      <c r="K2" s="9" t="s">
        <v>6</v>
      </c>
      <c r="L2" s="9" t="s">
        <v>7</v>
      </c>
      <c r="M2" s="9" t="s">
        <v>10</v>
      </c>
    </row>
    <row r="3" spans="1:13" x14ac:dyDescent="0.2">
      <c r="A3" s="4">
        <v>20</v>
      </c>
      <c r="B3" s="4">
        <f>C2+C3</f>
        <v>7</v>
      </c>
      <c r="C3" s="4">
        <v>4.5</v>
      </c>
      <c r="D3" s="4">
        <f t="shared" ref="D3:D10" si="0">(B4+B3)/2*10</f>
        <v>100</v>
      </c>
      <c r="E3" s="4"/>
      <c r="F3" s="2"/>
      <c r="G3" s="10">
        <v>0.1</v>
      </c>
      <c r="H3" s="8">
        <v>1</v>
      </c>
      <c r="I3" s="8">
        <v>1</v>
      </c>
      <c r="J3" s="2"/>
      <c r="K3" s="11">
        <f>L3</f>
        <v>2.5</v>
      </c>
      <c r="L3" s="8">
        <v>2.5</v>
      </c>
      <c r="M3" s="8">
        <f>L3-I3</f>
        <v>1.5</v>
      </c>
    </row>
    <row r="4" spans="1:13" x14ac:dyDescent="0.2">
      <c r="A4" s="4">
        <v>30</v>
      </c>
      <c r="B4" s="4">
        <f>B3+C4</f>
        <v>13</v>
      </c>
      <c r="C4" s="4">
        <v>6</v>
      </c>
      <c r="D4" s="4">
        <f t="shared" si="0"/>
        <v>165</v>
      </c>
      <c r="E4" s="4"/>
      <c r="F4" s="2"/>
      <c r="G4" s="10">
        <v>0.2</v>
      </c>
      <c r="H4" s="8">
        <v>3</v>
      </c>
      <c r="I4" s="8">
        <f t="shared" ref="I4:I12" si="1">H4-H3</f>
        <v>2</v>
      </c>
      <c r="J4" s="2"/>
      <c r="K4" s="8">
        <f>K3+L4</f>
        <v>7</v>
      </c>
      <c r="L4" s="8">
        <v>4.5</v>
      </c>
      <c r="M4" s="8">
        <f t="shared" ref="M4:M12" si="2">L4-I4</f>
        <v>2.5</v>
      </c>
    </row>
    <row r="5" spans="1:13" x14ac:dyDescent="0.2">
      <c r="A5" s="4">
        <v>40</v>
      </c>
      <c r="B5" s="4">
        <f t="shared" ref="B5:B11" si="3">B4+C5</f>
        <v>20</v>
      </c>
      <c r="C5" s="4">
        <v>7</v>
      </c>
      <c r="D5" s="4">
        <f t="shared" si="0"/>
        <v>240</v>
      </c>
      <c r="E5" s="4"/>
      <c r="F5" s="2"/>
      <c r="G5" s="10">
        <v>0.3</v>
      </c>
      <c r="H5" s="8">
        <v>5.5</v>
      </c>
      <c r="I5" s="8">
        <f t="shared" si="1"/>
        <v>2.5</v>
      </c>
      <c r="J5" s="2"/>
      <c r="K5" s="8">
        <f t="shared" ref="K5:K12" si="4">K4+L5</f>
        <v>13</v>
      </c>
      <c r="L5" s="8">
        <v>6</v>
      </c>
      <c r="M5" s="8">
        <f t="shared" si="2"/>
        <v>3.5</v>
      </c>
    </row>
    <row r="6" spans="1:13" x14ac:dyDescent="0.2">
      <c r="A6" s="4">
        <v>50</v>
      </c>
      <c r="B6" s="4">
        <f t="shared" si="3"/>
        <v>28</v>
      </c>
      <c r="C6" s="4">
        <v>8</v>
      </c>
      <c r="D6" s="4">
        <f t="shared" si="0"/>
        <v>322.5</v>
      </c>
      <c r="E6" s="4"/>
      <c r="F6" s="2"/>
      <c r="G6" s="10">
        <v>0.4</v>
      </c>
      <c r="H6" s="8">
        <v>9.5</v>
      </c>
      <c r="I6" s="8">
        <f t="shared" si="1"/>
        <v>4</v>
      </c>
      <c r="J6" s="2"/>
      <c r="K6" s="8">
        <f t="shared" si="4"/>
        <v>20</v>
      </c>
      <c r="L6" s="8">
        <v>7</v>
      </c>
      <c r="M6" s="8">
        <f t="shared" si="2"/>
        <v>3</v>
      </c>
    </row>
    <row r="7" spans="1:13" x14ac:dyDescent="0.2">
      <c r="A7" s="4">
        <v>60</v>
      </c>
      <c r="B7" s="4">
        <f t="shared" si="3"/>
        <v>36.5</v>
      </c>
      <c r="C7" s="4">
        <v>8.5</v>
      </c>
      <c r="D7" s="4">
        <f t="shared" si="0"/>
        <v>415</v>
      </c>
      <c r="E7" s="4"/>
      <c r="F7" s="2"/>
      <c r="G7" s="10">
        <v>0.5</v>
      </c>
      <c r="H7" s="8">
        <v>15.5</v>
      </c>
      <c r="I7" s="8">
        <f t="shared" si="1"/>
        <v>6</v>
      </c>
      <c r="J7" s="2"/>
      <c r="K7" s="8">
        <f t="shared" si="4"/>
        <v>28</v>
      </c>
      <c r="L7" s="8">
        <v>8</v>
      </c>
      <c r="M7" s="8">
        <f t="shared" si="2"/>
        <v>2</v>
      </c>
    </row>
    <row r="8" spans="1:13" x14ac:dyDescent="0.2">
      <c r="A8" s="4">
        <v>70</v>
      </c>
      <c r="B8" s="4">
        <f t="shared" si="3"/>
        <v>46.5</v>
      </c>
      <c r="C8" s="4">
        <v>10</v>
      </c>
      <c r="D8" s="4">
        <f t="shared" si="0"/>
        <v>517.5</v>
      </c>
      <c r="E8" s="4"/>
      <c r="F8" s="2"/>
      <c r="G8" s="10">
        <v>0.6</v>
      </c>
      <c r="H8" s="8">
        <v>23.5</v>
      </c>
      <c r="I8" s="8">
        <f t="shared" si="1"/>
        <v>8</v>
      </c>
      <c r="J8" s="2"/>
      <c r="K8" s="8">
        <f t="shared" si="4"/>
        <v>36.5</v>
      </c>
      <c r="L8" s="8">
        <v>8.5</v>
      </c>
      <c r="M8" s="8">
        <f t="shared" si="2"/>
        <v>0.5</v>
      </c>
    </row>
    <row r="9" spans="1:13" x14ac:dyDescent="0.2">
      <c r="A9" s="4">
        <v>80</v>
      </c>
      <c r="B9" s="4">
        <f t="shared" si="3"/>
        <v>57</v>
      </c>
      <c r="C9" s="4">
        <v>10.5</v>
      </c>
      <c r="D9" s="4">
        <f t="shared" si="0"/>
        <v>625</v>
      </c>
      <c r="E9" s="4"/>
      <c r="F9" s="2"/>
      <c r="G9" s="10">
        <v>0.7</v>
      </c>
      <c r="H9" s="8">
        <v>33.5</v>
      </c>
      <c r="I9" s="8">
        <f t="shared" si="1"/>
        <v>10</v>
      </c>
      <c r="J9" s="2"/>
      <c r="K9" s="8">
        <f t="shared" si="4"/>
        <v>46.5</v>
      </c>
      <c r="L9" s="8">
        <v>10</v>
      </c>
      <c r="M9" s="8">
        <f t="shared" si="2"/>
        <v>0</v>
      </c>
    </row>
    <row r="10" spans="1:13" x14ac:dyDescent="0.2">
      <c r="A10" s="4">
        <v>90</v>
      </c>
      <c r="B10" s="4">
        <f t="shared" si="3"/>
        <v>68</v>
      </c>
      <c r="C10" s="4">
        <v>11</v>
      </c>
      <c r="D10" s="4">
        <f t="shared" si="0"/>
        <v>840</v>
      </c>
      <c r="E10" s="4"/>
      <c r="F10" s="2"/>
      <c r="G10" s="10">
        <v>0.8</v>
      </c>
      <c r="H10" s="8">
        <v>45</v>
      </c>
      <c r="I10" s="8">
        <f t="shared" si="1"/>
        <v>11.5</v>
      </c>
      <c r="J10" s="2"/>
      <c r="K10" s="8">
        <f t="shared" si="4"/>
        <v>57</v>
      </c>
      <c r="L10" s="8">
        <v>10.5</v>
      </c>
      <c r="M10" s="8">
        <f t="shared" si="2"/>
        <v>-1</v>
      </c>
    </row>
    <row r="11" spans="1:13" x14ac:dyDescent="0.2">
      <c r="A11" s="4">
        <v>100</v>
      </c>
      <c r="B11" s="4">
        <f t="shared" si="3"/>
        <v>100</v>
      </c>
      <c r="C11" s="4">
        <v>32</v>
      </c>
      <c r="D11" s="4"/>
      <c r="E11" s="4"/>
      <c r="F11" s="2"/>
      <c r="G11" s="10">
        <v>0.9</v>
      </c>
      <c r="H11" s="8">
        <v>57</v>
      </c>
      <c r="I11" s="8">
        <f t="shared" si="1"/>
        <v>12</v>
      </c>
      <c r="J11" s="2"/>
      <c r="K11" s="8">
        <f t="shared" si="4"/>
        <v>68</v>
      </c>
      <c r="L11" s="8">
        <v>11</v>
      </c>
      <c r="M11" s="8">
        <f t="shared" si="2"/>
        <v>-1</v>
      </c>
    </row>
    <row r="12" spans="1:13" x14ac:dyDescent="0.2">
      <c r="A12" s="4"/>
      <c r="B12" s="4" t="s">
        <v>2</v>
      </c>
      <c r="C12" s="4"/>
      <c r="D12" s="4">
        <f>SUM(D2:D10)</f>
        <v>3265</v>
      </c>
      <c r="E12" s="4"/>
      <c r="F12" s="2"/>
      <c r="G12" s="10">
        <v>1</v>
      </c>
      <c r="H12" s="8">
        <v>100</v>
      </c>
      <c r="I12" s="8">
        <f t="shared" si="1"/>
        <v>43</v>
      </c>
      <c r="J12" s="2"/>
      <c r="K12" s="8">
        <f t="shared" si="4"/>
        <v>100</v>
      </c>
      <c r="L12" s="8">
        <v>32</v>
      </c>
      <c r="M12" s="8">
        <f t="shared" si="2"/>
        <v>-11</v>
      </c>
    </row>
    <row r="13" spans="1:13" x14ac:dyDescent="0.2">
      <c r="A13" s="4"/>
      <c r="B13" s="4" t="s">
        <v>3</v>
      </c>
      <c r="C13" s="4"/>
      <c r="D13" s="4">
        <f>5000-D12</f>
        <v>1735</v>
      </c>
      <c r="E13" s="4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4"/>
      <c r="B14" s="5" t="s">
        <v>4</v>
      </c>
      <c r="C14" s="4"/>
      <c r="D14" s="6">
        <f>D13/5000</f>
        <v>0.34699999999999998</v>
      </c>
      <c r="E14" s="4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D16" s="2"/>
      <c r="E16" s="2"/>
      <c r="F16" s="2"/>
      <c r="G16" s="2"/>
      <c r="H16" s="2"/>
      <c r="I16" s="2"/>
      <c r="J16" s="2"/>
      <c r="K16" s="15" t="s">
        <v>19</v>
      </c>
      <c r="L16" s="15" t="s">
        <v>21</v>
      </c>
      <c r="M16" s="15" t="s">
        <v>20</v>
      </c>
    </row>
    <row r="17" spans="4:13" x14ac:dyDescent="0.2">
      <c r="D17" s="2"/>
      <c r="E17" s="2"/>
      <c r="F17" s="2"/>
      <c r="G17" s="2"/>
      <c r="H17" s="2"/>
      <c r="I17" s="2"/>
      <c r="J17" s="2"/>
      <c r="K17" s="12">
        <v>0.1</v>
      </c>
      <c r="L17" s="13">
        <v>1</v>
      </c>
      <c r="M17" s="14">
        <v>2.5</v>
      </c>
    </row>
    <row r="18" spans="4:13" x14ac:dyDescent="0.2">
      <c r="D18" s="2"/>
      <c r="E18" s="2"/>
      <c r="F18" s="2"/>
      <c r="G18" s="2"/>
      <c r="H18" s="2"/>
      <c r="I18" s="2"/>
      <c r="J18" s="2"/>
      <c r="K18" s="12">
        <v>0.2</v>
      </c>
      <c r="L18" s="13">
        <v>3</v>
      </c>
      <c r="M18" s="13">
        <v>7</v>
      </c>
    </row>
    <row r="19" spans="4:13" x14ac:dyDescent="0.2">
      <c r="D19" s="2"/>
      <c r="E19" s="2"/>
      <c r="F19" s="2"/>
      <c r="G19" s="2"/>
      <c r="H19" s="2"/>
      <c r="I19" s="2"/>
      <c r="J19" s="2"/>
      <c r="K19" s="12">
        <v>0.3</v>
      </c>
      <c r="L19" s="13">
        <v>5.5</v>
      </c>
      <c r="M19" s="13">
        <v>13</v>
      </c>
    </row>
    <row r="20" spans="4:13" x14ac:dyDescent="0.2">
      <c r="D20" s="2"/>
      <c r="E20" s="2"/>
      <c r="F20" s="2"/>
      <c r="G20" s="2"/>
      <c r="H20" s="2"/>
      <c r="I20" s="2"/>
      <c r="J20" s="2"/>
      <c r="K20" s="12">
        <v>0.4</v>
      </c>
      <c r="L20" s="13">
        <v>9.5</v>
      </c>
      <c r="M20" s="13">
        <v>20</v>
      </c>
    </row>
    <row r="21" spans="4:13" x14ac:dyDescent="0.2">
      <c r="K21" s="12">
        <v>0.5</v>
      </c>
      <c r="L21" s="13">
        <v>15.5</v>
      </c>
      <c r="M21" s="13">
        <v>28</v>
      </c>
    </row>
    <row r="22" spans="4:13" x14ac:dyDescent="0.2">
      <c r="K22" s="12">
        <v>0.6</v>
      </c>
      <c r="L22" s="13">
        <v>23.5</v>
      </c>
      <c r="M22" s="13">
        <v>36.5</v>
      </c>
    </row>
    <row r="23" spans="4:13" x14ac:dyDescent="0.2">
      <c r="K23" s="12">
        <v>0.7</v>
      </c>
      <c r="L23" s="13">
        <v>33.5</v>
      </c>
      <c r="M23" s="13">
        <v>46.5</v>
      </c>
    </row>
    <row r="24" spans="4:13" x14ac:dyDescent="0.2">
      <c r="K24" s="12">
        <v>0.8</v>
      </c>
      <c r="L24" s="13">
        <v>45</v>
      </c>
      <c r="M24" s="13">
        <v>57</v>
      </c>
    </row>
    <row r="25" spans="4:13" x14ac:dyDescent="0.2">
      <c r="K25" s="12">
        <v>0.9</v>
      </c>
      <c r="L25" s="13">
        <v>57</v>
      </c>
      <c r="M25" s="13">
        <v>68</v>
      </c>
    </row>
    <row r="26" spans="4:13" x14ac:dyDescent="0.2">
      <c r="K26" s="12">
        <v>1</v>
      </c>
      <c r="L26" s="13">
        <v>100</v>
      </c>
      <c r="M26" s="13">
        <v>100</v>
      </c>
    </row>
    <row r="34" spans="1:3" x14ac:dyDescent="0.2">
      <c r="A34" t="s">
        <v>11</v>
      </c>
    </row>
    <row r="35" spans="1:3" x14ac:dyDescent="0.2">
      <c r="A35" t="s">
        <v>13</v>
      </c>
      <c r="B35">
        <f>2400000000000</f>
        <v>2400000000000</v>
      </c>
      <c r="C35">
        <f>B35*0.012</f>
        <v>28800000000</v>
      </c>
    </row>
    <row r="36" spans="1:3" x14ac:dyDescent="0.2">
      <c r="A36" t="s">
        <v>14</v>
      </c>
      <c r="B36" s="1">
        <v>0.60399999999999998</v>
      </c>
      <c r="C36" s="1"/>
    </row>
    <row r="37" spans="1:3" x14ac:dyDescent="0.2">
      <c r="A37" t="s">
        <v>15</v>
      </c>
      <c r="B37" s="1">
        <v>0.58299999999999996</v>
      </c>
      <c r="C37" s="1"/>
    </row>
    <row r="38" spans="1:3" x14ac:dyDescent="0.2">
      <c r="A38" t="s">
        <v>16</v>
      </c>
      <c r="B38">
        <f>(B36-B37)*B35</f>
        <v>50400000000.000046</v>
      </c>
    </row>
    <row r="39" spans="1:3" x14ac:dyDescent="0.2">
      <c r="A39" t="s">
        <v>0</v>
      </c>
      <c r="B39">
        <v>560000000000</v>
      </c>
    </row>
    <row r="40" spans="1:3" x14ac:dyDescent="0.2">
      <c r="A40" t="s">
        <v>17</v>
      </c>
      <c r="B40">
        <f>5.2%*B35</f>
        <v>124800000000.00002</v>
      </c>
    </row>
    <row r="41" spans="1:3" x14ac:dyDescent="0.2">
      <c r="A41" t="s">
        <v>12</v>
      </c>
      <c r="B41">
        <f>B35-B38</f>
        <v>2349600000000</v>
      </c>
      <c r="C41">
        <f>B41*1.03^5</f>
        <v>2723830364975.2798</v>
      </c>
    </row>
    <row r="42" spans="1:3" x14ac:dyDescent="0.2">
      <c r="A42" s="16" t="s">
        <v>18</v>
      </c>
      <c r="B42" s="16">
        <v>32500000</v>
      </c>
      <c r="C42" s="16"/>
    </row>
    <row r="43" spans="1:3" ht="48" x14ac:dyDescent="0.2">
      <c r="A43" s="19" t="s">
        <v>23</v>
      </c>
      <c r="B43" s="19" t="s">
        <v>22</v>
      </c>
      <c r="C43" s="19" t="s">
        <v>24</v>
      </c>
    </row>
    <row r="44" spans="1:3" x14ac:dyDescent="0.2">
      <c r="A44" s="17">
        <v>10</v>
      </c>
      <c r="B44" s="17">
        <f>$B$41*I3/100/(0.1*$B$42)</f>
        <v>7229.5384615384619</v>
      </c>
      <c r="C44" s="17">
        <f>$C$41*L3/100/(0.1*$B$42*1.0167^5)</f>
        <v>19287.351129087303</v>
      </c>
    </row>
    <row r="45" spans="1:3" x14ac:dyDescent="0.2">
      <c r="A45" s="17">
        <v>20</v>
      </c>
      <c r="B45" s="17">
        <f t="shared" ref="B45:B53" si="5">$B$41*I4/100/(0.1*$B$42)</f>
        <v>14459.076923076924</v>
      </c>
      <c r="C45" s="17">
        <f t="shared" ref="C45:C53" si="6">$C$41*L4/100/(0.1*$B$42*1.0167^5)</f>
        <v>34717.232032357148</v>
      </c>
    </row>
    <row r="46" spans="1:3" x14ac:dyDescent="0.2">
      <c r="A46" s="17">
        <v>30</v>
      </c>
      <c r="B46" s="17">
        <f t="shared" si="5"/>
        <v>18073.846153846152</v>
      </c>
      <c r="C46" s="17">
        <f t="shared" si="6"/>
        <v>46289.64270980953</v>
      </c>
    </row>
    <row r="47" spans="1:3" x14ac:dyDescent="0.2">
      <c r="A47" s="17">
        <v>40</v>
      </c>
      <c r="B47" s="17">
        <f t="shared" si="5"/>
        <v>28918.153846153848</v>
      </c>
      <c r="C47" s="17">
        <f t="shared" si="6"/>
        <v>54004.583161444447</v>
      </c>
    </row>
    <row r="48" spans="1:3" x14ac:dyDescent="0.2">
      <c r="A48" s="17">
        <v>50</v>
      </c>
      <c r="B48" s="17">
        <f t="shared" si="5"/>
        <v>43377.230769230766</v>
      </c>
      <c r="C48" s="17">
        <f t="shared" si="6"/>
        <v>61719.523613079371</v>
      </c>
    </row>
    <row r="49" spans="1:3" x14ac:dyDescent="0.2">
      <c r="A49" s="17">
        <v>60</v>
      </c>
      <c r="B49" s="17">
        <f t="shared" si="5"/>
        <v>57836.307692307695</v>
      </c>
      <c r="C49" s="17">
        <f t="shared" si="6"/>
        <v>65576.993838896844</v>
      </c>
    </row>
    <row r="50" spans="1:3" x14ac:dyDescent="0.2">
      <c r="A50" s="17">
        <v>70</v>
      </c>
      <c r="B50" s="17">
        <f t="shared" si="5"/>
        <v>72295.38461538461</v>
      </c>
      <c r="C50" s="17">
        <f t="shared" si="6"/>
        <v>77149.404516349212</v>
      </c>
    </row>
    <row r="51" spans="1:3" x14ac:dyDescent="0.2">
      <c r="A51" s="17">
        <v>80</v>
      </c>
      <c r="B51" s="17">
        <f t="shared" si="5"/>
        <v>83139.692307692312</v>
      </c>
      <c r="C51" s="17">
        <f t="shared" si="6"/>
        <v>81006.874742166663</v>
      </c>
    </row>
    <row r="52" spans="1:3" x14ac:dyDescent="0.2">
      <c r="A52" s="17">
        <v>90</v>
      </c>
      <c r="B52" s="17">
        <f t="shared" si="5"/>
        <v>86754.461538461532</v>
      </c>
      <c r="C52" s="17">
        <f t="shared" si="6"/>
        <v>84864.344967984129</v>
      </c>
    </row>
    <row r="53" spans="1:3" x14ac:dyDescent="0.2">
      <c r="A53" s="17">
        <v>100</v>
      </c>
      <c r="B53" s="17">
        <f t="shared" si="5"/>
        <v>310870.15384615387</v>
      </c>
      <c r="C53" s="17">
        <f t="shared" si="6"/>
        <v>246878.09445231748</v>
      </c>
    </row>
    <row r="54" spans="1:3" x14ac:dyDescent="0.2">
      <c r="A54" t="s">
        <v>38</v>
      </c>
      <c r="B54" s="24">
        <f>SUM(B44:B53)</f>
        <v>722953.84615384613</v>
      </c>
      <c r="C54" s="18"/>
    </row>
  </sheetData>
  <mergeCells count="3">
    <mergeCell ref="A1:E1"/>
    <mergeCell ref="G1:I1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2" zoomScale="121" workbookViewId="0">
      <selection activeCell="B4" sqref="B4"/>
    </sheetView>
  </sheetViews>
  <sheetFormatPr baseColWidth="10" defaultRowHeight="16" x14ac:dyDescent="0.2"/>
  <cols>
    <col min="1" max="1" width="15.5" bestFit="1" customWidth="1"/>
  </cols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H1" t="s">
        <v>70</v>
      </c>
    </row>
    <row r="2" spans="1:8" ht="208" x14ac:dyDescent="0.2">
      <c r="A2" t="s">
        <v>66</v>
      </c>
      <c r="B2">
        <v>0</v>
      </c>
      <c r="C2">
        <f>(1.7+1.3+1.3)*3*0.6/3</f>
        <v>2.5799999999999996</v>
      </c>
      <c r="D2">
        <f>C2</f>
        <v>2.5799999999999996</v>
      </c>
      <c r="E2">
        <f>D2</f>
        <v>2.5799999999999996</v>
      </c>
      <c r="F2">
        <v>0</v>
      </c>
      <c r="H2" s="25" t="s">
        <v>74</v>
      </c>
    </row>
    <row r="3" spans="1:8" x14ac:dyDescent="0.2">
      <c r="A3" t="s">
        <v>67</v>
      </c>
      <c r="B3">
        <v>0.9</v>
      </c>
      <c r="C3">
        <v>0</v>
      </c>
      <c r="D3">
        <v>0</v>
      </c>
      <c r="E3">
        <v>0</v>
      </c>
      <c r="F3">
        <v>0</v>
      </c>
    </row>
    <row r="4" spans="1:8" x14ac:dyDescent="0.2">
      <c r="A4" t="s">
        <v>68</v>
      </c>
      <c r="B4">
        <f>0.015*500*250000*0.000000001</f>
        <v>1.8750000000000001E-3</v>
      </c>
      <c r="C4">
        <f t="shared" ref="C4:F4" si="0">0.015*500*250000*0.000000001</f>
        <v>1.8750000000000001E-3</v>
      </c>
      <c r="D4">
        <f t="shared" si="0"/>
        <v>1.8750000000000001E-3</v>
      </c>
      <c r="E4">
        <f t="shared" si="0"/>
        <v>1.8750000000000001E-3</v>
      </c>
      <c r="F4">
        <f t="shared" si="0"/>
        <v>1.8750000000000001E-3</v>
      </c>
      <c r="H4" t="s">
        <v>71</v>
      </c>
    </row>
    <row r="5" spans="1:8" x14ac:dyDescent="0.2">
      <c r="A5" t="s">
        <v>69</v>
      </c>
      <c r="B5">
        <f>0.05</f>
        <v>0.05</v>
      </c>
      <c r="C5">
        <f t="shared" ref="C5:F5" si="1">0.05</f>
        <v>0.05</v>
      </c>
      <c r="D5">
        <f t="shared" si="1"/>
        <v>0.05</v>
      </c>
      <c r="E5">
        <f t="shared" si="1"/>
        <v>0.05</v>
      </c>
      <c r="F5">
        <f t="shared" si="1"/>
        <v>0.05</v>
      </c>
      <c r="H5" t="s">
        <v>72</v>
      </c>
    </row>
    <row r="6" spans="1:8" x14ac:dyDescent="0.2">
      <c r="A6" t="s">
        <v>38</v>
      </c>
      <c r="B6">
        <f>SUM(B2:B5)</f>
        <v>0.95187500000000003</v>
      </c>
      <c r="C6">
        <f t="shared" ref="C6:F6" si="2">SUM(C2:C5)</f>
        <v>2.6318749999999995</v>
      </c>
      <c r="D6">
        <f t="shared" si="2"/>
        <v>2.6318749999999995</v>
      </c>
      <c r="E6">
        <f t="shared" si="2"/>
        <v>2.6318749999999995</v>
      </c>
      <c r="F6">
        <f t="shared" si="2"/>
        <v>5.1875000000000004E-2</v>
      </c>
    </row>
    <row r="7" spans="1:8" x14ac:dyDescent="0.2">
      <c r="H7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25" workbookViewId="0">
      <selection activeCell="D18" sqref="D18"/>
    </sheetView>
  </sheetViews>
  <sheetFormatPr baseColWidth="10" defaultRowHeight="16" x14ac:dyDescent="0.2"/>
  <cols>
    <col min="1" max="1" width="10.1640625" customWidth="1"/>
    <col min="2" max="2" width="19.33203125" bestFit="1" customWidth="1"/>
    <col min="3" max="3" width="11.33203125" customWidth="1"/>
    <col min="4" max="8" width="18.83203125" bestFit="1" customWidth="1"/>
  </cols>
  <sheetData>
    <row r="1" spans="1:10" x14ac:dyDescent="0.2">
      <c r="A1" s="34" t="s">
        <v>53</v>
      </c>
      <c r="B1" s="34"/>
      <c r="C1" s="34"/>
      <c r="D1" s="20">
        <v>1</v>
      </c>
      <c r="E1" s="20">
        <v>2</v>
      </c>
      <c r="F1" s="20">
        <v>3</v>
      </c>
      <c r="G1" s="20">
        <v>4</v>
      </c>
      <c r="H1" s="20">
        <v>5</v>
      </c>
      <c r="J1" s="20" t="s">
        <v>52</v>
      </c>
    </row>
    <row r="2" spans="1:10" x14ac:dyDescent="0.2">
      <c r="A2" s="35" t="s">
        <v>51</v>
      </c>
      <c r="B2" s="36" t="s">
        <v>50</v>
      </c>
      <c r="C2" s="36"/>
      <c r="D2" s="22">
        <f>345*5000000</f>
        <v>1725000000</v>
      </c>
      <c r="E2" s="22">
        <f>D2</f>
        <v>1725000000</v>
      </c>
      <c r="F2" s="22">
        <f>E2</f>
        <v>1725000000</v>
      </c>
      <c r="G2" s="22">
        <f>F2</f>
        <v>1725000000</v>
      </c>
      <c r="H2" s="22">
        <f>G2</f>
        <v>1725000000</v>
      </c>
      <c r="I2" t="s">
        <v>44</v>
      </c>
      <c r="J2" t="s">
        <v>49</v>
      </c>
    </row>
    <row r="3" spans="1:10" x14ac:dyDescent="0.2">
      <c r="A3" s="35"/>
      <c r="B3" s="36" t="s">
        <v>41</v>
      </c>
      <c r="C3" s="36"/>
      <c r="D3" s="22">
        <f>13*2*100000000/3</f>
        <v>866666666.66666663</v>
      </c>
      <c r="E3" s="22">
        <f>D3</f>
        <v>866666666.66666663</v>
      </c>
      <c r="F3" s="22">
        <f>D3</f>
        <v>866666666.66666663</v>
      </c>
      <c r="G3" s="22">
        <f>E3</f>
        <v>866666666.66666663</v>
      </c>
      <c r="H3" s="22">
        <f>F3</f>
        <v>866666666.66666663</v>
      </c>
      <c r="I3" t="s">
        <v>44</v>
      </c>
      <c r="J3" t="s">
        <v>48</v>
      </c>
    </row>
    <row r="4" spans="1:10" x14ac:dyDescent="0.2">
      <c r="A4" s="35"/>
      <c r="B4" s="36" t="s">
        <v>40</v>
      </c>
      <c r="C4" s="36"/>
      <c r="D4" s="22">
        <v>0</v>
      </c>
      <c r="E4" s="22">
        <v>0</v>
      </c>
      <c r="F4" s="22">
        <f>30000*345*1000*0.035</f>
        <v>362250000.00000006</v>
      </c>
      <c r="G4" s="22">
        <f>F4</f>
        <v>362250000.00000006</v>
      </c>
      <c r="H4" s="22">
        <f>G4</f>
        <v>362250000.00000006</v>
      </c>
      <c r="I4" t="s">
        <v>44</v>
      </c>
      <c r="J4" t="s">
        <v>47</v>
      </c>
    </row>
    <row r="5" spans="1:10" x14ac:dyDescent="0.2">
      <c r="A5" s="35"/>
      <c r="B5" s="36" t="s">
        <v>46</v>
      </c>
      <c r="C5" s="36"/>
      <c r="D5" s="22">
        <v>0</v>
      </c>
      <c r="E5" s="22">
        <v>0</v>
      </c>
      <c r="F5" s="22">
        <v>0</v>
      </c>
      <c r="G5" s="22">
        <v>0</v>
      </c>
      <c r="H5" s="22">
        <f>3000*2.66*1000000</f>
        <v>7980000000</v>
      </c>
      <c r="I5" t="s">
        <v>44</v>
      </c>
      <c r="J5" t="s">
        <v>45</v>
      </c>
    </row>
    <row r="6" spans="1:10" x14ac:dyDescent="0.2">
      <c r="A6" s="35"/>
      <c r="B6" s="21"/>
      <c r="C6" s="21" t="s">
        <v>38</v>
      </c>
      <c r="D6" s="22">
        <f>SUM(D2:D5)</f>
        <v>2591666666.6666665</v>
      </c>
      <c r="E6" s="22">
        <f>SUM(E2:E5)</f>
        <v>2591666666.6666665</v>
      </c>
      <c r="F6" s="22">
        <f>SUM(F2:F5)</f>
        <v>2953916666.6666665</v>
      </c>
      <c r="G6" s="22">
        <f>SUM(G2:G5)</f>
        <v>2953916666.6666665</v>
      </c>
      <c r="H6" s="22">
        <f>SUM(H2:H5)</f>
        <v>10933916666.666666</v>
      </c>
    </row>
    <row r="7" spans="1:10" x14ac:dyDescent="0.2">
      <c r="B7" t="s">
        <v>55</v>
      </c>
      <c r="C7">
        <v>1000000000</v>
      </c>
      <c r="D7">
        <f>D6/$C$7</f>
        <v>2.5916666666666663</v>
      </c>
      <c r="E7">
        <f t="shared" ref="E7:H7" si="0">E6/$C$7</f>
        <v>2.5916666666666663</v>
      </c>
      <c r="F7">
        <f t="shared" si="0"/>
        <v>2.9539166666666663</v>
      </c>
      <c r="G7">
        <f t="shared" si="0"/>
        <v>2.9539166666666663</v>
      </c>
      <c r="H7">
        <f t="shared" si="0"/>
        <v>10.933916666666667</v>
      </c>
    </row>
    <row r="8" spans="1:10" x14ac:dyDescent="0.2">
      <c r="A8" s="33" t="s">
        <v>43</v>
      </c>
      <c r="B8" s="33"/>
      <c r="C8" s="33"/>
      <c r="D8">
        <f>130*200</f>
        <v>26000</v>
      </c>
      <c r="E8">
        <f t="shared" ref="E8:H9" si="1">D8</f>
        <v>26000</v>
      </c>
      <c r="F8">
        <f t="shared" si="1"/>
        <v>26000</v>
      </c>
      <c r="G8">
        <f t="shared" si="1"/>
        <v>26000</v>
      </c>
      <c r="H8">
        <f t="shared" si="1"/>
        <v>26000</v>
      </c>
      <c r="I8">
        <f>SUM(D8:H8)</f>
        <v>130000</v>
      </c>
      <c r="J8" t="s">
        <v>42</v>
      </c>
    </row>
    <row r="9" spans="1:10" x14ac:dyDescent="0.2">
      <c r="A9" s="33"/>
      <c r="B9" s="33"/>
      <c r="C9" s="33"/>
      <c r="D9">
        <f>13*2000*2</f>
        <v>52000</v>
      </c>
      <c r="E9">
        <f t="shared" si="1"/>
        <v>52000</v>
      </c>
      <c r="F9">
        <f t="shared" si="1"/>
        <v>52000</v>
      </c>
      <c r="G9">
        <f t="shared" si="1"/>
        <v>52000</v>
      </c>
      <c r="H9">
        <f t="shared" si="1"/>
        <v>52000</v>
      </c>
      <c r="I9">
        <f>SUM(D9:H9)</f>
        <v>260000</v>
      </c>
      <c r="J9" t="s">
        <v>41</v>
      </c>
    </row>
    <row r="10" spans="1:10" x14ac:dyDescent="0.2">
      <c r="A10" s="33"/>
      <c r="B10" s="33"/>
      <c r="C10" s="33"/>
      <c r="D10">
        <v>0</v>
      </c>
      <c r="E10">
        <v>0</v>
      </c>
      <c r="F10">
        <f>130*250</f>
        <v>32500</v>
      </c>
      <c r="G10">
        <f>F10</f>
        <v>32500</v>
      </c>
      <c r="H10">
        <f>G10</f>
        <v>32500</v>
      </c>
      <c r="I10">
        <f>SUM(F10:H10)</f>
        <v>97500</v>
      </c>
      <c r="J10" t="s">
        <v>40</v>
      </c>
    </row>
    <row r="11" spans="1:10" x14ac:dyDescent="0.2">
      <c r="A11" s="33"/>
      <c r="B11" s="33"/>
      <c r="C11" s="33"/>
      <c r="D11">
        <f>0.1*2660000*0.25*0.2</f>
        <v>13300</v>
      </c>
      <c r="E11">
        <f>D11</f>
        <v>13300</v>
      </c>
      <c r="F11">
        <f>E11</f>
        <v>13300</v>
      </c>
      <c r="G11">
        <f>F11</f>
        <v>13300</v>
      </c>
      <c r="H11">
        <f>G11</f>
        <v>13300</v>
      </c>
      <c r="I11">
        <f>SUM(D11:H11)</f>
        <v>66500</v>
      </c>
      <c r="J11" t="s">
        <v>39</v>
      </c>
    </row>
    <row r="12" spans="1:10" x14ac:dyDescent="0.2">
      <c r="C12" t="s">
        <v>38</v>
      </c>
      <c r="D12">
        <f t="shared" ref="D12:I12" si="2">SUM(D8:D11)</f>
        <v>91300</v>
      </c>
      <c r="E12">
        <f t="shared" si="2"/>
        <v>91300</v>
      </c>
      <c r="F12">
        <f t="shared" si="2"/>
        <v>123800</v>
      </c>
      <c r="G12">
        <f t="shared" si="2"/>
        <v>123800</v>
      </c>
      <c r="H12">
        <f t="shared" si="2"/>
        <v>123800</v>
      </c>
      <c r="I12" s="20">
        <f t="shared" si="2"/>
        <v>554000</v>
      </c>
    </row>
  </sheetData>
  <mergeCells count="7">
    <mergeCell ref="A8:C11"/>
    <mergeCell ref="A1:C1"/>
    <mergeCell ref="A2:A6"/>
    <mergeCell ref="B2:C2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KPIs</vt:lpstr>
      <vt:lpstr>Taxation Breakdown</vt:lpstr>
      <vt:lpstr>Economy Breakdown</vt:lpstr>
      <vt:lpstr>Education 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2016-02-24T14:16:19Z</dcterms:created>
  <dcterms:modified xsi:type="dcterms:W3CDTF">2016-04-30T14:06:59Z</dcterms:modified>
</cp:coreProperties>
</file>