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GZQ/Desktop/OM/"/>
    </mc:Choice>
  </mc:AlternateContent>
  <bookViews>
    <workbookView xWindow="840" yWindow="460" windowWidth="26480" windowHeight="14900" tabRatio="932"/>
  </bookViews>
  <sheets>
    <sheet name="Inventory Model" sheetId="14" r:id="rId1"/>
    <sheet name="Holding Cost Calculations" sheetId="15" r:id="rId2"/>
  </sheets>
  <definedNames>
    <definedName name="EBO">#REF!</definedName>
    <definedName name="ED1p">#REF!</definedName>
    <definedName name="FR">#REF!</definedName>
    <definedName name="L">#REF!</definedName>
    <definedName name="OHI">#REF!</definedName>
    <definedName name="OOI">#REF!</definedName>
    <definedName name="S">#REF!</definedName>
    <definedName name="SD">#REF!</definedName>
    <definedName name="SDD">#REF!</definedName>
    <definedName name="SOP">#REF!</definedName>
    <definedName name="Z">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4" l="1"/>
  <c r="K8" i="14"/>
  <c r="B22" i="15"/>
  <c r="B19" i="15"/>
  <c r="H22" i="15"/>
  <c r="H21" i="15"/>
  <c r="E21" i="15"/>
  <c r="E16" i="15"/>
  <c r="B17" i="15"/>
  <c r="B14" i="15"/>
  <c r="H18" i="15"/>
  <c r="I9" i="14"/>
  <c r="I4" i="14"/>
  <c r="I5" i="14"/>
  <c r="K4" i="14"/>
  <c r="I20" i="14"/>
  <c r="I22" i="14"/>
  <c r="K5" i="14"/>
  <c r="I12" i="14"/>
  <c r="K21" i="14"/>
  <c r="K22" i="14"/>
  <c r="I3" i="14"/>
  <c r="K20" i="14"/>
  <c r="I21" i="14"/>
  <c r="K17" i="14"/>
  <c r="K16" i="14"/>
  <c r="K15" i="14"/>
  <c r="K14" i="14"/>
  <c r="K13" i="14"/>
  <c r="K12" i="14"/>
</calcChain>
</file>

<file path=xl/sharedStrings.xml><?xml version="1.0" encoding="utf-8"?>
<sst xmlns="http://schemas.openxmlformats.org/spreadsheetml/2006/main" count="85" uniqueCount="73">
  <si>
    <t>Z*</t>
  </si>
  <si>
    <t>Expected Lost Sale</t>
  </si>
  <si>
    <t>Expected Profit</t>
  </si>
  <si>
    <t>Noodles (Monday)</t>
  </si>
  <si>
    <t>Noodles (Tuesday)</t>
  </si>
  <si>
    <t>Noodles (Wednesday)</t>
  </si>
  <si>
    <t>Noodles (Thursday)</t>
  </si>
  <si>
    <t>Noodles (Friday)</t>
  </si>
  <si>
    <t>Noodles (Saturday)</t>
  </si>
  <si>
    <t>Noodles (Sunday)</t>
  </si>
  <si>
    <t>Minced Pork (Tuesday)</t>
  </si>
  <si>
    <t>Minced Pork (Thursday)</t>
  </si>
  <si>
    <t>Minced Pork (Saturday)</t>
  </si>
  <si>
    <t>Model</t>
  </si>
  <si>
    <t>Mean in L+1 periods</t>
  </si>
  <si>
    <t>STDEV in L+1 periods</t>
  </si>
  <si>
    <t>Overage Cost</t>
  </si>
  <si>
    <t>Mean in 1 period</t>
  </si>
  <si>
    <t>Stdev in L+1 periods</t>
  </si>
  <si>
    <t>Shortage Cost</t>
  </si>
  <si>
    <t>In-stock Probability</t>
  </si>
  <si>
    <t>Par Level S</t>
  </si>
  <si>
    <t>You Mian</t>
  </si>
  <si>
    <t>Ban Mian</t>
  </si>
  <si>
    <t>Mee Hoon Kueh</t>
  </si>
  <si>
    <t>Yee Mian</t>
  </si>
  <si>
    <t>Instant Noodle</t>
  </si>
  <si>
    <t>Bee Hoon</t>
  </si>
  <si>
    <t>Fill Rate</t>
  </si>
  <si>
    <t>Expected Inventory</t>
  </si>
  <si>
    <t>Expected Sales</t>
  </si>
  <si>
    <t>Expected Leftover Inventory</t>
  </si>
  <si>
    <t>Critical Fractile</t>
  </si>
  <si>
    <t>Usage in 1 bowl (g)</t>
  </si>
  <si>
    <t>Usage in 1 bowl</t>
  </si>
  <si>
    <t>Note:</t>
  </si>
  <si>
    <t>For cost minimization method, please refer to K8 for the value of K3.</t>
  </si>
  <si>
    <t>Legends:</t>
  </si>
  <si>
    <t>input cell</t>
  </si>
  <si>
    <t>MODEL SELECTION</t>
  </si>
  <si>
    <t>CALCULATION INPUTS</t>
  </si>
  <si>
    <t>CRITICAL FRACTILE CALCULATIONS</t>
  </si>
  <si>
    <t>ORDERING QUANTITY</t>
  </si>
  <si>
    <t>PERFORMANCE MEASURES</t>
  </si>
  <si>
    <t>Given Information:</t>
  </si>
  <si>
    <t>Noodles</t>
  </si>
  <si>
    <t>Freezer's share of electricity</t>
  </si>
  <si>
    <t>Average grams of noodles per bowl</t>
  </si>
  <si>
    <t>Freezer capacity (ml)</t>
  </si>
  <si>
    <t>Monthly chargeable salary</t>
  </si>
  <si>
    <t>Monthly rental</t>
  </si>
  <si>
    <t>Monthly electricity charge</t>
  </si>
  <si>
    <t>Electricity</t>
  </si>
  <si>
    <t>Area of stall (m^3)</t>
  </si>
  <si>
    <t>Freezer cover area (m^3)</t>
  </si>
  <si>
    <t>Estimated electricity cost (per bowl)</t>
  </si>
  <si>
    <t>Estimated rental cost (per bowl)</t>
  </si>
  <si>
    <t>Rental</t>
  </si>
  <si>
    <t>Service</t>
  </si>
  <si>
    <t>Number of bowls sold per day</t>
  </si>
  <si>
    <t>Assumed Parameters:</t>
  </si>
  <si>
    <t>Noodle's weight proportion in a bowl</t>
  </si>
  <si>
    <t>Estimated service cost (per bowl)</t>
  </si>
  <si>
    <t>Days in a month</t>
  </si>
  <si>
    <t>Opportunity</t>
  </si>
  <si>
    <t>Proportion of staff energy on storing ingredients</t>
  </si>
  <si>
    <t>Minced Pork</t>
  </si>
  <si>
    <t>Average grams of minced pork per bowl</t>
  </si>
  <si>
    <t>Minced pork's weight proportion in a bowl</t>
  </si>
  <si>
    <t>Estimated opportunity cost (per bowl)</t>
  </si>
  <si>
    <t>For in-stock probability target method, please input a value to cell K3 directly.</t>
  </si>
  <si>
    <t>intermediate output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</si>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</sst>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_-[$$-4809]* #,##0.00_-;\-[$$-4809]* #,##0.00_-;_-[$$-4809]* &quot;-&quot;??_-;_-@_-"/>
    <numFmt numFmtId="166" formatCode="_-[$$-4809]* #,##0.0000_-;\-[$$-4809]* #,##0.0000_-;_-[$$-4809]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theme="4" tint="-0.499984740745262"/>
      </left>
      <right/>
      <top/>
      <bottom/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 style="thin">
        <color rgb="FF7F7F7F"/>
      </left>
      <right style="thin">
        <color rgb="FF7F7F7F"/>
      </right>
      <top style="thick">
        <color theme="4" tint="-0.499984740745262"/>
      </top>
      <bottom style="thin">
        <color rgb="FF7F7F7F"/>
      </bottom>
      <diagonal/>
    </border>
    <border>
      <left/>
      <right/>
      <top style="thick">
        <color theme="4" tint="-0.499984740745262"/>
      </top>
      <bottom/>
      <diagonal/>
    </border>
    <border>
      <left style="thin">
        <color rgb="FF7F7F7F"/>
      </left>
      <right style="thick">
        <color theme="4" tint="-0.499984740745262"/>
      </right>
      <top style="thick">
        <color theme="4" tint="-0.499984740745262"/>
      </top>
      <bottom style="thin">
        <color rgb="FF7F7F7F"/>
      </bottom>
      <diagonal/>
    </border>
    <border>
      <left style="thin">
        <color rgb="FF7F7F7F"/>
      </left>
      <right style="thick">
        <color theme="4" tint="-0.499984740745262"/>
      </right>
      <top style="thin">
        <color rgb="FF7F7F7F"/>
      </top>
      <bottom style="thin">
        <color rgb="FF7F7F7F"/>
      </bottom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 style="thin">
        <color rgb="FF7F7F7F"/>
      </left>
      <right style="thick">
        <color theme="4" tint="-0.499984740745262"/>
      </right>
      <top style="thin">
        <color rgb="FF7F7F7F"/>
      </top>
      <bottom style="thick">
        <color theme="4" tint="-0.499984740745262"/>
      </bottom>
      <diagonal/>
    </border>
    <border>
      <left style="thin">
        <color rgb="FF3F3F3F"/>
      </left>
      <right style="thin">
        <color rgb="FF3F3F3F"/>
      </right>
      <top style="thick">
        <color theme="4" tint="-0.499984740745262"/>
      </top>
      <bottom style="thin">
        <color rgb="FF3F3F3F"/>
      </bottom>
      <diagonal/>
    </border>
    <border>
      <left style="thin">
        <color rgb="FF3F3F3F"/>
      </left>
      <right style="thick">
        <color theme="4" tint="-0.499984740745262"/>
      </right>
      <top style="thick">
        <color theme="4" tint="-0.499984740745262"/>
      </top>
      <bottom style="thin">
        <color rgb="FF3F3F3F"/>
      </bottom>
      <diagonal/>
    </border>
    <border>
      <left style="thin">
        <color rgb="FF3F3F3F"/>
      </left>
      <right style="thick">
        <color theme="4" tint="-0.499984740745262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ck">
        <color theme="4" tint="-0.499984740745262"/>
      </bottom>
      <diagonal/>
    </border>
    <border>
      <left style="thin">
        <color rgb="FF3F3F3F"/>
      </left>
      <right style="thick">
        <color theme="4" tint="-0.499984740745262"/>
      </right>
      <top style="thin">
        <color rgb="FF3F3F3F"/>
      </top>
      <bottom style="thick">
        <color theme="4" tint="-0.499984740745262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  <xf numFmtId="0" fontId="8" fillId="6" borderId="2" applyNumberFormat="0" applyAlignment="0" applyProtection="0"/>
    <xf numFmtId="0" fontId="9" fillId="6" borderId="1" applyNumberFormat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7" fillId="5" borderId="1" xfId="6"/>
    <xf numFmtId="0" fontId="8" fillId="6" borderId="2" xfId="7"/>
    <xf numFmtId="0" fontId="9" fillId="6" borderId="1" xfId="8"/>
    <xf numFmtId="0" fontId="10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9" fillId="6" borderId="6" xfId="8" applyBorder="1" applyAlignment="1">
      <alignment horizontal="right"/>
    </xf>
    <xf numFmtId="0" fontId="0" fillId="0" borderId="7" xfId="0" applyBorder="1"/>
    <xf numFmtId="164" fontId="7" fillId="5" borderId="8" xfId="6" applyNumberFormat="1" applyBorder="1" applyAlignment="1">
      <alignment horizontal="right"/>
    </xf>
    <xf numFmtId="0" fontId="9" fillId="6" borderId="1" xfId="8" applyBorder="1" applyAlignment="1">
      <alignment horizontal="right"/>
    </xf>
    <xf numFmtId="0" fontId="0" fillId="0" borderId="0" xfId="0" applyBorder="1"/>
    <xf numFmtId="164" fontId="9" fillId="6" borderId="9" xfId="8" applyNumberFormat="1" applyBorder="1" applyAlignment="1">
      <alignment horizontal="right"/>
    </xf>
    <xf numFmtId="0" fontId="0" fillId="0" borderId="10" xfId="0" applyBorder="1"/>
    <xf numFmtId="0" fontId="9" fillId="6" borderId="11" xfId="8" applyBorder="1" applyAlignment="1">
      <alignment horizontal="right"/>
    </xf>
    <xf numFmtId="0" fontId="0" fillId="0" borderId="12" xfId="0" applyBorder="1"/>
    <xf numFmtId="0" fontId="9" fillId="6" borderId="13" xfId="8" applyBorder="1" applyAlignment="1">
      <alignment horizontal="right"/>
    </xf>
    <xf numFmtId="2" fontId="7" fillId="5" borderId="6" xfId="6" applyNumberFormat="1" applyBorder="1" applyAlignment="1">
      <alignment horizontal="right"/>
    </xf>
    <xf numFmtId="164" fontId="9" fillId="6" borderId="8" xfId="8" applyNumberFormat="1" applyBorder="1" applyAlignment="1">
      <alignment horizontal="right"/>
    </xf>
    <xf numFmtId="2" fontId="9" fillId="6" borderId="11" xfId="8" applyNumberFormat="1" applyBorder="1" applyAlignment="1">
      <alignment horizontal="right"/>
    </xf>
    <xf numFmtId="1" fontId="8" fillId="6" borderId="15" xfId="7" applyNumberFormat="1" applyBorder="1" applyAlignment="1">
      <alignment horizontal="right"/>
    </xf>
    <xf numFmtId="1" fontId="8" fillId="6" borderId="16" xfId="7" applyNumberFormat="1" applyBorder="1" applyAlignment="1">
      <alignment horizontal="right"/>
    </xf>
    <xf numFmtId="1" fontId="8" fillId="6" borderId="18" xfId="7" applyNumberFormat="1" applyBorder="1" applyAlignment="1">
      <alignment horizontal="right"/>
    </xf>
    <xf numFmtId="2" fontId="8" fillId="6" borderId="14" xfId="7" applyNumberFormat="1" applyBorder="1"/>
    <xf numFmtId="164" fontId="0" fillId="0" borderId="7" xfId="0" applyNumberFormat="1" applyBorder="1"/>
    <xf numFmtId="164" fontId="8" fillId="6" borderId="15" xfId="7" applyNumberFormat="1" applyBorder="1"/>
    <xf numFmtId="2" fontId="8" fillId="6" borderId="2" xfId="7" applyNumberFormat="1" applyBorder="1"/>
    <xf numFmtId="164" fontId="0" fillId="0" borderId="0" xfId="0" applyNumberFormat="1" applyBorder="1"/>
    <xf numFmtId="2" fontId="8" fillId="6" borderId="16" xfId="7" applyNumberFormat="1" applyBorder="1"/>
    <xf numFmtId="2" fontId="8" fillId="6" borderId="17" xfId="7" applyNumberFormat="1" applyBorder="1"/>
    <xf numFmtId="164" fontId="0" fillId="0" borderId="12" xfId="0" applyNumberFormat="1" applyBorder="1"/>
    <xf numFmtId="164" fontId="8" fillId="6" borderId="18" xfId="7" applyNumberFormat="1" applyBorder="1"/>
    <xf numFmtId="0" fontId="0" fillId="7" borderId="0" xfId="0" applyFill="1"/>
    <xf numFmtId="165" fontId="0" fillId="0" borderId="0" xfId="0" applyNumberFormat="1"/>
    <xf numFmtId="166" fontId="4" fillId="2" borderId="0" xfId="3" applyNumberFormat="1"/>
    <xf numFmtId="0" fontId="0" fillId="0" borderId="0" xfId="0" applyAlignment="1">
      <alignment wrapText="1"/>
    </xf>
    <xf numFmtId="165" fontId="4" fillId="2" borderId="0" xfId="3" applyNumberFormat="1"/>
    <xf numFmtId="166" fontId="5" fillId="3" borderId="0" xfId="4" applyNumberFormat="1"/>
    <xf numFmtId="165" fontId="5" fillId="3" borderId="0" xfId="4" applyNumberFormat="1"/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8" fillId="6" borderId="14" xfId="7" applyNumberFormat="1" applyBorder="1" applyAlignment="1">
      <alignment horizontal="center" vertical="center"/>
    </xf>
    <xf numFmtId="1" fontId="8" fillId="6" borderId="2" xfId="7" applyNumberFormat="1" applyBorder="1" applyAlignment="1">
      <alignment horizontal="center" vertical="center"/>
    </xf>
    <xf numFmtId="1" fontId="8" fillId="6" borderId="17" xfId="7" applyNumberFormat="1" applyBorder="1" applyAlignment="1">
      <alignment horizontal="center" vertical="center"/>
    </xf>
    <xf numFmtId="0" fontId="6" fillId="4" borderId="0" xfId="5" applyAlignment="1">
      <alignment horizontal="center"/>
    </xf>
  </cellXfs>
  <cellStyles count="9">
    <cellStyle name="Bad" xfId="4" builtinId="27"/>
    <cellStyle name="Calculation" xfId="8" builtinId="22"/>
    <cellStyle name="Followed Hyperlink" xfId="2" builtinId="9" hidden="1"/>
    <cellStyle name="Good" xfId="3" builtinId="26"/>
    <cellStyle name="Hyperlink" xfId="1" builtinId="8" hidden="1"/>
    <cellStyle name="Input" xfId="6" builtinId="20"/>
    <cellStyle name="Neutral" xfId="5" builtinId="28"/>
    <cellStyle name="Normal" xfId="0" builtinId="0"/>
    <cellStyle name="Output" xfId="7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F1" zoomScale="150" workbookViewId="0">
      <selection activeCell="J10" sqref="J10"/>
    </sheetView>
  </sheetViews>
  <sheetFormatPr baseColWidth="10" defaultColWidth="8.83203125" defaultRowHeight="15" x14ac:dyDescent="0.2"/>
  <cols>
    <col min="1" max="1" width="19.5" bestFit="1" customWidth="1"/>
    <col min="2" max="2" width="17.1640625" bestFit="1" customWidth="1"/>
    <col min="3" max="3" width="17.6640625" bestFit="1" customWidth="1"/>
    <col min="4" max="4" width="11.5" bestFit="1" customWidth="1"/>
    <col min="5" max="5" width="14.5" bestFit="1" customWidth="1"/>
    <col min="6" max="6" width="13.5" bestFit="1" customWidth="1"/>
    <col min="7" max="7" width="2.83203125" style="39" customWidth="1"/>
    <col min="8" max="8" width="22.1640625" bestFit="1" customWidth="1"/>
    <col min="9" max="9" width="18.83203125" bestFit="1" customWidth="1"/>
    <col min="10" max="10" width="23" bestFit="1" customWidth="1"/>
    <col min="11" max="11" width="13" customWidth="1"/>
  </cols>
  <sheetData>
    <row r="1" spans="1:11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34</v>
      </c>
      <c r="H1" s="1" t="s">
        <v>39</v>
      </c>
      <c r="I1" s="7" t="s">
        <v>10</v>
      </c>
    </row>
    <row r="2" spans="1:11" ht="16" thickBot="1" x14ac:dyDescent="0.25">
      <c r="A2" t="s">
        <v>3</v>
      </c>
      <c r="B2">
        <v>39126</v>
      </c>
      <c r="C2">
        <v>3107</v>
      </c>
      <c r="D2" s="4">
        <v>0.20793083461867218</v>
      </c>
      <c r="E2" s="6">
        <v>17991</v>
      </c>
      <c r="F2" s="5">
        <v>81.67</v>
      </c>
      <c r="H2" s="1" t="s">
        <v>40</v>
      </c>
    </row>
    <row r="3" spans="1:11" ht="16" thickTop="1" x14ac:dyDescent="0.2">
      <c r="A3" t="s">
        <v>4</v>
      </c>
      <c r="B3">
        <v>39126</v>
      </c>
      <c r="C3">
        <v>3107</v>
      </c>
      <c r="D3" s="4">
        <v>0.20793083461867218</v>
      </c>
      <c r="E3" s="6">
        <v>17991</v>
      </c>
      <c r="F3" s="5">
        <v>81.67</v>
      </c>
      <c r="H3" s="13" t="s">
        <v>17</v>
      </c>
      <c r="I3" s="14">
        <f>VLOOKUP(I1,A2:E11,5,FALSE)</f>
        <v>8697</v>
      </c>
      <c r="J3" s="15" t="s">
        <v>20</v>
      </c>
      <c r="K3" s="16">
        <f>K8</f>
        <v>0.89722675367047311</v>
      </c>
    </row>
    <row r="4" spans="1:11" x14ac:dyDescent="0.2">
      <c r="A4" t="s">
        <v>5</v>
      </c>
      <c r="B4">
        <v>39126</v>
      </c>
      <c r="C4">
        <v>3107</v>
      </c>
      <c r="D4" s="4">
        <v>0.20793083461867218</v>
      </c>
      <c r="E4" s="6">
        <v>17991</v>
      </c>
      <c r="F4" s="5">
        <v>81.67</v>
      </c>
      <c r="H4" s="11" t="s">
        <v>14</v>
      </c>
      <c r="I4" s="17">
        <f>VLOOKUP(I1,A2:E11,2,FALSE)</f>
        <v>18914</v>
      </c>
      <c r="J4" s="18" t="s">
        <v>0</v>
      </c>
      <c r="K4" s="19">
        <f>_xlfn.NORM.S.INV(K3)</f>
        <v>1.265906685299476</v>
      </c>
    </row>
    <row r="5" spans="1:11" ht="16" thickBot="1" x14ac:dyDescent="0.25">
      <c r="A5" t="s">
        <v>6</v>
      </c>
      <c r="B5">
        <v>39126</v>
      </c>
      <c r="C5">
        <v>3107</v>
      </c>
      <c r="D5" s="4">
        <v>0.20793083461867218</v>
      </c>
      <c r="E5" s="6">
        <v>17991</v>
      </c>
      <c r="F5" s="5">
        <v>81.67</v>
      </c>
      <c r="H5" s="20" t="s">
        <v>18</v>
      </c>
      <c r="I5" s="21">
        <f>VLOOKUP(I1,A2:E11,3,FALSE)</f>
        <v>1448</v>
      </c>
      <c r="J5" s="22" t="s">
        <v>33</v>
      </c>
      <c r="K5" s="23">
        <f>VLOOKUP(I1,A2:F11,6,FALSE)</f>
        <v>45</v>
      </c>
    </row>
    <row r="6" spans="1:11" ht="16" thickTop="1" x14ac:dyDescent="0.2">
      <c r="A6" t="s">
        <v>7</v>
      </c>
      <c r="B6">
        <v>33712</v>
      </c>
      <c r="C6">
        <v>4154</v>
      </c>
      <c r="D6" s="4">
        <v>0.20793083461867218</v>
      </c>
      <c r="E6" s="6">
        <v>17991</v>
      </c>
      <c r="F6" s="5">
        <v>81.67</v>
      </c>
    </row>
    <row r="7" spans="1:11" ht="16" thickBot="1" x14ac:dyDescent="0.25">
      <c r="A7" t="s">
        <v>8</v>
      </c>
      <c r="B7">
        <v>28298</v>
      </c>
      <c r="C7">
        <v>4985</v>
      </c>
      <c r="D7" s="4">
        <v>0.20793083461867218</v>
      </c>
      <c r="E7" s="6">
        <v>17991</v>
      </c>
      <c r="F7" s="5">
        <v>81.67</v>
      </c>
      <c r="H7" s="1" t="s">
        <v>41</v>
      </c>
    </row>
    <row r="8" spans="1:11" ht="16" thickTop="1" x14ac:dyDescent="0.2">
      <c r="A8" t="s">
        <v>9</v>
      </c>
      <c r="B8">
        <v>33712</v>
      </c>
      <c r="C8">
        <v>4154</v>
      </c>
      <c r="D8" s="4">
        <v>0.20793083461867218</v>
      </c>
      <c r="E8" s="6">
        <v>17991</v>
      </c>
      <c r="F8" s="5">
        <v>81.67</v>
      </c>
      <c r="H8" s="13" t="s">
        <v>19</v>
      </c>
      <c r="I8" s="24">
        <v>2.6307999999999998</v>
      </c>
      <c r="J8" s="15" t="s">
        <v>32</v>
      </c>
      <c r="K8" s="25">
        <f>55/(55+6.3)</f>
        <v>0.89722675367047311</v>
      </c>
    </row>
    <row r="9" spans="1:11" ht="16" thickBot="1" x14ac:dyDescent="0.25">
      <c r="A9" t="s">
        <v>10</v>
      </c>
      <c r="B9">
        <v>18914</v>
      </c>
      <c r="C9">
        <v>1448</v>
      </c>
      <c r="D9" s="4">
        <v>0.139918165819931</v>
      </c>
      <c r="E9" s="6">
        <v>8697</v>
      </c>
      <c r="F9" s="6">
        <v>45</v>
      </c>
      <c r="H9" s="20" t="s">
        <v>16</v>
      </c>
      <c r="I9" s="26">
        <f>VLOOKUP(I1,A2:E11,4,FALSE)</f>
        <v>0.139918165819931</v>
      </c>
      <c r="J9" s="22"/>
      <c r="K9" s="12"/>
    </row>
    <row r="10" spans="1:11" ht="16" thickTop="1" x14ac:dyDescent="0.2">
      <c r="A10" t="s">
        <v>11</v>
      </c>
      <c r="B10">
        <v>18914</v>
      </c>
      <c r="C10">
        <v>1448</v>
      </c>
      <c r="D10" s="4">
        <v>0.139918165819931</v>
      </c>
      <c r="E10" s="6">
        <v>8697</v>
      </c>
      <c r="F10" s="6">
        <v>45</v>
      </c>
    </row>
    <row r="11" spans="1:11" ht="16" thickBot="1" x14ac:dyDescent="0.25">
      <c r="A11" t="s">
        <v>12</v>
      </c>
      <c r="B11">
        <v>23137</v>
      </c>
      <c r="C11">
        <v>2201</v>
      </c>
      <c r="D11" s="4">
        <v>0.139918165819931</v>
      </c>
      <c r="E11" s="6">
        <v>8697</v>
      </c>
      <c r="F11" s="6">
        <v>45</v>
      </c>
      <c r="H11" s="1" t="s">
        <v>42</v>
      </c>
    </row>
    <row r="12" spans="1:11" ht="16" thickTop="1" x14ac:dyDescent="0.2">
      <c r="H12" s="46" t="s">
        <v>21</v>
      </c>
      <c r="I12" s="49">
        <f>I4+I5*K4</f>
        <v>20747.03288031364</v>
      </c>
      <c r="J12" s="15" t="s">
        <v>22</v>
      </c>
      <c r="K12" s="27">
        <f>0.3797*I12</f>
        <v>7877.6483846550891</v>
      </c>
    </row>
    <row r="13" spans="1:11" x14ac:dyDescent="0.2">
      <c r="H13" s="47"/>
      <c r="I13" s="50"/>
      <c r="J13" s="18" t="s">
        <v>23</v>
      </c>
      <c r="K13" s="28">
        <f>0.4511*I12</f>
        <v>9358.9865323094837</v>
      </c>
    </row>
    <row r="14" spans="1:11" x14ac:dyDescent="0.2">
      <c r="H14" s="47"/>
      <c r="I14" s="50"/>
      <c r="J14" s="18" t="s">
        <v>24</v>
      </c>
      <c r="K14" s="28">
        <f>0.075*I12</f>
        <v>1556.0274660235229</v>
      </c>
    </row>
    <row r="15" spans="1:11" x14ac:dyDescent="0.2">
      <c r="H15" s="47"/>
      <c r="I15" s="50"/>
      <c r="J15" s="18" t="s">
        <v>25</v>
      </c>
      <c r="K15" s="28">
        <f>0.0322*I12</f>
        <v>668.05445874609916</v>
      </c>
    </row>
    <row r="16" spans="1:11" x14ac:dyDescent="0.2">
      <c r="H16" s="47"/>
      <c r="I16" s="50"/>
      <c r="J16" s="18" t="s">
        <v>26</v>
      </c>
      <c r="K16" s="28">
        <f>0.033*I12</f>
        <v>684.65208505035014</v>
      </c>
    </row>
    <row r="17" spans="8:11" ht="16" thickBot="1" x14ac:dyDescent="0.25">
      <c r="H17" s="48"/>
      <c r="I17" s="51"/>
      <c r="J17" s="22" t="s">
        <v>27</v>
      </c>
      <c r="K17" s="29">
        <f>0.029*I12</f>
        <v>601.66395352909558</v>
      </c>
    </row>
    <row r="18" spans="8:11" ht="16" thickTop="1" x14ac:dyDescent="0.2">
      <c r="K18" s="2"/>
    </row>
    <row r="19" spans="8:11" ht="16" thickBot="1" x14ac:dyDescent="0.25">
      <c r="H19" s="1" t="s">
        <v>43</v>
      </c>
    </row>
    <row r="20" spans="8:11" ht="16" thickTop="1" x14ac:dyDescent="0.2">
      <c r="H20" s="13" t="s">
        <v>1</v>
      </c>
      <c r="I20" s="30">
        <f>I5*(NORMDIST(K4,0,1,0)-K4*(1-NORMSDIST(K4)))</f>
        <v>70.849604546534096</v>
      </c>
      <c r="J20" s="31" t="s">
        <v>28</v>
      </c>
      <c r="K20" s="32">
        <f>1-I20/I3</f>
        <v>0.99185355817563137</v>
      </c>
    </row>
    <row r="21" spans="8:11" x14ac:dyDescent="0.2">
      <c r="H21" s="11" t="s">
        <v>29</v>
      </c>
      <c r="I21" s="33">
        <f>I12-I4+I20</f>
        <v>1903.8824848601739</v>
      </c>
      <c r="J21" s="34" t="s">
        <v>31</v>
      </c>
      <c r="K21" s="35">
        <f>I12-I22</f>
        <v>1903.8824848601726</v>
      </c>
    </row>
    <row r="22" spans="8:11" ht="16" thickBot="1" x14ac:dyDescent="0.25">
      <c r="H22" s="20" t="s">
        <v>30</v>
      </c>
      <c r="I22" s="36">
        <f>I4-I20</f>
        <v>18843.150395453467</v>
      </c>
      <c r="J22" s="37" t="s">
        <v>2</v>
      </c>
      <c r="K22" s="38">
        <f>I22*I8/K5-K21*I9/K5</f>
        <v>1095.6927181142366</v>
      </c>
    </row>
    <row r="23" spans="8:11" ht="16" thickTop="1" x14ac:dyDescent="0.2"/>
    <row r="24" spans="8:11" x14ac:dyDescent="0.2">
      <c r="H24" s="10" t="s">
        <v>35</v>
      </c>
    </row>
    <row r="25" spans="8:11" x14ac:dyDescent="0.2">
      <c r="H25" s="10" t="s">
        <v>70</v>
      </c>
    </row>
    <row r="26" spans="8:11" x14ac:dyDescent="0.2">
      <c r="H26" s="10" t="s">
        <v>36</v>
      </c>
    </row>
    <row r="28" spans="8:11" x14ac:dyDescent="0.2">
      <c r="H28" s="10" t="s">
        <v>37</v>
      </c>
    </row>
    <row r="29" spans="8:11" x14ac:dyDescent="0.2">
      <c r="H29" s="7" t="s">
        <v>38</v>
      </c>
    </row>
    <row r="30" spans="8:11" x14ac:dyDescent="0.2">
      <c r="H30" s="9" t="s">
        <v>71</v>
      </c>
    </row>
    <row r="31" spans="8:11" x14ac:dyDescent="0.2">
      <c r="H31" s="8" t="s">
        <v>72</v>
      </c>
    </row>
  </sheetData>
  <mergeCells count="2">
    <mergeCell ref="H12:H17"/>
    <mergeCell ref="I12:I17"/>
  </mergeCells>
  <dataValidations count="1">
    <dataValidation type="list" allowBlank="1" showInputMessage="1" showErrorMessage="1" sqref="I1">
      <formula1>$A$2:$A$11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7" zoomScale="150" workbookViewId="0">
      <selection activeCell="B23" sqref="B23"/>
    </sheetView>
  </sheetViews>
  <sheetFormatPr baseColWidth="10" defaultColWidth="8.83203125" defaultRowHeight="15" x14ac:dyDescent="0.2"/>
  <cols>
    <col min="1" max="1" width="24.33203125" bestFit="1" customWidth="1"/>
    <col min="2" max="2" width="9.83203125" bestFit="1" customWidth="1"/>
    <col min="3" max="3" width="3" customWidth="1"/>
    <col min="4" max="4" width="22" customWidth="1"/>
    <col min="6" max="6" width="1.83203125" customWidth="1"/>
    <col min="7" max="7" width="22.1640625" style="42" customWidth="1"/>
    <col min="8" max="8" width="10.6640625" customWidth="1"/>
    <col min="9" max="9" width="1.83203125" customWidth="1"/>
    <col min="10" max="10" width="23.5" customWidth="1"/>
  </cols>
  <sheetData>
    <row r="1" spans="1:11" x14ac:dyDescent="0.2">
      <c r="A1" s="1" t="s">
        <v>44</v>
      </c>
    </row>
    <row r="2" spans="1:11" x14ac:dyDescent="0.2">
      <c r="A2" t="s">
        <v>51</v>
      </c>
      <c r="B2" s="40">
        <v>377.24</v>
      </c>
    </row>
    <row r="3" spans="1:11" x14ac:dyDescent="0.2">
      <c r="A3" t="s">
        <v>50</v>
      </c>
      <c r="B3" s="40">
        <v>3210</v>
      </c>
    </row>
    <row r="4" spans="1:11" x14ac:dyDescent="0.2">
      <c r="A4" t="s">
        <v>49</v>
      </c>
      <c r="B4" s="40">
        <v>7376</v>
      </c>
    </row>
    <row r="5" spans="1:11" x14ac:dyDescent="0.2">
      <c r="B5" s="40"/>
    </row>
    <row r="6" spans="1:11" x14ac:dyDescent="0.2">
      <c r="A6" s="1" t="s">
        <v>60</v>
      </c>
      <c r="B6" s="40"/>
    </row>
    <row r="7" spans="1:11" x14ac:dyDescent="0.2">
      <c r="A7" t="s">
        <v>46</v>
      </c>
      <c r="B7" s="3">
        <v>0.7</v>
      </c>
    </row>
    <row r="8" spans="1:11" x14ac:dyDescent="0.2">
      <c r="A8" t="s">
        <v>48</v>
      </c>
      <c r="B8" s="3">
        <v>500000</v>
      </c>
    </row>
    <row r="9" spans="1:11" x14ac:dyDescent="0.2">
      <c r="A9" t="s">
        <v>53</v>
      </c>
      <c r="B9">
        <v>15</v>
      </c>
    </row>
    <row r="10" spans="1:11" x14ac:dyDescent="0.2">
      <c r="A10" t="s">
        <v>54</v>
      </c>
      <c r="B10">
        <v>1</v>
      </c>
    </row>
    <row r="11" spans="1:11" x14ac:dyDescent="0.2">
      <c r="A11" t="s">
        <v>59</v>
      </c>
      <c r="B11" s="3">
        <v>194</v>
      </c>
    </row>
    <row r="12" spans="1:11" x14ac:dyDescent="0.2">
      <c r="A12" t="s">
        <v>63</v>
      </c>
      <c r="B12" s="3">
        <v>30</v>
      </c>
    </row>
    <row r="13" spans="1:11" x14ac:dyDescent="0.2">
      <c r="A13" s="1"/>
      <c r="B13" s="40"/>
    </row>
    <row r="14" spans="1:11" x14ac:dyDescent="0.2">
      <c r="A14" s="1" t="s">
        <v>45</v>
      </c>
      <c r="B14" s="44">
        <f>B17+E16+H18+K16</f>
        <v>0.20793092608907215</v>
      </c>
    </row>
    <row r="15" spans="1:11" x14ac:dyDescent="0.2">
      <c r="A15" s="52" t="s">
        <v>52</v>
      </c>
      <c r="B15" s="52"/>
      <c r="D15" s="52" t="s">
        <v>57</v>
      </c>
      <c r="E15" s="52"/>
      <c r="G15" s="52" t="s">
        <v>58</v>
      </c>
      <c r="H15" s="52"/>
      <c r="J15" s="52" t="s">
        <v>64</v>
      </c>
      <c r="K15" s="52"/>
    </row>
    <row r="16" spans="1:11" ht="30" x14ac:dyDescent="0.2">
      <c r="A16" s="42" t="s">
        <v>47</v>
      </c>
      <c r="B16" s="3">
        <v>81.67</v>
      </c>
      <c r="D16" s="42" t="s">
        <v>56</v>
      </c>
      <c r="E16" s="41">
        <f>B3/B9*B10/B8*B16</f>
        <v>3.4954760000000001E-2</v>
      </c>
      <c r="G16" s="42" t="s">
        <v>61</v>
      </c>
      <c r="H16">
        <v>0.63</v>
      </c>
      <c r="J16" s="42" t="s">
        <v>69</v>
      </c>
      <c r="K16" s="43">
        <v>0.05</v>
      </c>
    </row>
    <row r="17" spans="1:11" ht="30" x14ac:dyDescent="0.2">
      <c r="A17" s="42" t="s">
        <v>55</v>
      </c>
      <c r="B17" s="41">
        <f>B2*B7/B8*B16</f>
        <v>4.3132867120000001E-2</v>
      </c>
      <c r="G17" s="42" t="s">
        <v>65</v>
      </c>
      <c r="H17">
        <v>0.1</v>
      </c>
    </row>
    <row r="18" spans="1:11" ht="30" x14ac:dyDescent="0.2">
      <c r="G18" s="42" t="s">
        <v>62</v>
      </c>
      <c r="H18" s="41">
        <f>B4/B11/B12*H16*H17</f>
        <v>7.9843298969072163E-2</v>
      </c>
    </row>
    <row r="19" spans="1:11" x14ac:dyDescent="0.2">
      <c r="A19" s="1" t="s">
        <v>66</v>
      </c>
      <c r="B19" s="45">
        <f>B22+E21+H22+K21</f>
        <v>0.13991821621993128</v>
      </c>
    </row>
    <row r="20" spans="1:11" x14ac:dyDescent="0.2">
      <c r="A20" s="52" t="s">
        <v>52</v>
      </c>
      <c r="B20" s="52"/>
      <c r="D20" s="52" t="s">
        <v>57</v>
      </c>
      <c r="E20" s="52"/>
      <c r="G20" s="52" t="s">
        <v>58</v>
      </c>
      <c r="H20" s="52"/>
      <c r="J20" s="52" t="s">
        <v>64</v>
      </c>
      <c r="K20" s="52"/>
    </row>
    <row r="21" spans="1:11" ht="30" x14ac:dyDescent="0.2">
      <c r="A21" s="42" t="s">
        <v>67</v>
      </c>
      <c r="B21">
        <v>45</v>
      </c>
      <c r="D21" s="42" t="s">
        <v>56</v>
      </c>
      <c r="E21" s="41">
        <f>B3/B9*B10/B8*B21</f>
        <v>1.9259999999999999E-2</v>
      </c>
      <c r="G21" s="42" t="s">
        <v>68</v>
      </c>
      <c r="H21">
        <f>1-H16</f>
        <v>0.37</v>
      </c>
      <c r="J21" s="42" t="s">
        <v>69</v>
      </c>
      <c r="K21" s="43">
        <v>0.05</v>
      </c>
    </row>
    <row r="22" spans="1:11" ht="30" x14ac:dyDescent="0.2">
      <c r="A22" s="42" t="s">
        <v>55</v>
      </c>
      <c r="B22" s="41">
        <f>B2*B7/B8*B21</f>
        <v>2.3766120000000002E-2</v>
      </c>
      <c r="G22" s="42" t="s">
        <v>62</v>
      </c>
      <c r="H22" s="41">
        <f>B4/B11/B12*H21*H17</f>
        <v>4.6892096219931269E-2</v>
      </c>
    </row>
  </sheetData>
  <mergeCells count="8">
    <mergeCell ref="A15:B15"/>
    <mergeCell ref="D15:E15"/>
    <mergeCell ref="G15:H15"/>
    <mergeCell ref="J15:K15"/>
    <mergeCell ref="A20:B20"/>
    <mergeCell ref="D20:E20"/>
    <mergeCell ref="G20:H20"/>
    <mergeCell ref="J20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 Model</vt:lpstr>
      <vt:lpstr>Holding Cost 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Yau</dc:creator>
  <cp:lastModifiedBy>Microsoft Office User</cp:lastModifiedBy>
  <cp:lastPrinted>2016-04-14T10:57:34Z</cp:lastPrinted>
  <dcterms:created xsi:type="dcterms:W3CDTF">2016-04-06T09:00:21Z</dcterms:created>
  <dcterms:modified xsi:type="dcterms:W3CDTF">2016-04-30T14:05:35Z</dcterms:modified>
</cp:coreProperties>
</file>