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rogectQt\OfficeDatabase\"/>
    </mc:Choice>
  </mc:AlternateContent>
  <xr:revisionPtr revIDLastSave="0" documentId="13_ncr:1_{B0E9DA56-B295-4C92-BC2F-F338F3948E86}" xr6:coauthVersionLast="47" xr6:coauthVersionMax="47" xr10:uidLastSave="{00000000-0000-0000-0000-000000000000}"/>
  <bookViews>
    <workbookView xWindow="-120" yWindow="-120" windowWidth="20640" windowHeight="11160" tabRatio="500" xr2:uid="{00000000-000D-0000-FFFF-FFFF00000000}"/>
  </bookViews>
  <sheets>
    <sheet name="Brauberg_Paper_and_other" sheetId="1" r:id="rId1"/>
    <sheet name="Brauberg_pens_and_other" sheetId="2" r:id="rId2"/>
    <sheet name="Brauberg_screbki_and_other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09" i="3" l="1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<sst xmlns="http://schemas.openxmlformats.org/spreadsheetml/2006/main" count="12" uniqueCount="4">
  <si>
    <t>ID_Items</t>
  </si>
  <si>
    <t>Type_Product</t>
  </si>
  <si>
    <t>Number_Product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</si>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</sst>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charset val="1"/>
    </font>
    <font>
      <sz val="11"/>
      <color rgb="FF000000"/>
      <name val="Nimbus Roman"/>
      <charset val="1"/>
    </font>
    <font>
      <sz val="11"/>
      <color rgb="FF000000"/>
      <name val="Arial"/>
      <charset val="1"/>
    </font>
    <font>
      <sz val="9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3" fillId="3" borderId="0" xfId="0" applyFont="1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50" zoomScaleNormal="100" workbookViewId="0">
      <selection activeCell="E78" sqref="E78"/>
    </sheetView>
  </sheetViews>
  <sheetFormatPr defaultColWidth="12.5703125" defaultRowHeight="14.25"/>
  <cols>
    <col min="1" max="4" width="23.5703125" style="1" customWidth="1"/>
    <col min="6" max="6" width="18.7109375" customWidth="1"/>
  </cols>
  <sheetData>
    <row r="1" spans="1:6">
      <c r="A1" s="2" t="s">
        <v>0</v>
      </c>
      <c r="B1" s="3" t="s">
        <v>1</v>
      </c>
      <c r="C1" s="2" t="s">
        <v>2</v>
      </c>
      <c r="D1" s="4" t="s">
        <v>3</v>
      </c>
      <c r="E1" s="5"/>
      <c r="F1" s="6"/>
    </row>
    <row r="2" spans="1:6" ht="42.75">
      <c r="A2" s="7">
        <v>643069</v>
      </c>
      <c r="B2" s="8" t="str">
        <f ca="1">IFERROR(__xludf.dummyfunction("IMPORTXML(getIdItems(""https://www.lustrof.ru/category/ofis/kanctovary/bumaga/ehtiketki-i-cenniki/?page="",1),""//span[@class='products__item-info-name']"")"),"Красящие ролики для этикет-пистолетов (290439)")</f>
        <v>Красящие ролики для этикет-пистолетов (290439)</v>
      </c>
      <c r="C2" s="7" t="str">
        <f ca="1">IFERROR(__xludf.dummyfunction("IMPORTXML(getIdItems(""https://www.lustrof.ru/category/ofis/kanctovary/bumaga/ehtiketki-i-cenniki/?page="",2),""//span[@class='products__available-in-stock']"")"),"В наличии 938")</f>
        <v>В наличии 938</v>
      </c>
      <c r="D2" s="7">
        <f ca="1">IFERROR(__xludf.dummyfunction("IMPORTXML(getIdItems(""https://www.lustrof.ru/category/ofis/kanctovary/kantselyarskie-melochi/?page="",1),""//span[@class='products__price-new']/text()"")"),567)</f>
        <v>567</v>
      </c>
      <c r="E2" s="9"/>
    </row>
    <row r="3" spans="1:6" ht="42.75">
      <c r="A3" s="1">
        <v>644204</v>
      </c>
      <c r="B3" s="10" t="str">
        <f ca="1">IFERROR(__xludf.dummyfunction("""COMPUTED_VALUE"""),"Красящие ролики для этикет-пистолетов (290440)")</f>
        <v>Красящие ролики для этикет-пистолетов (290440)</v>
      </c>
      <c r="C3" s="1" t="str">
        <f ca="1">IFERROR(__xludf.dummyfunction("""COMPUTED_VALUE"""),"В наличии 2997")</f>
        <v>В наличии 2997</v>
      </c>
      <c r="D3" s="1">
        <f ca="1">IFERROR(__xludf.dummyfunction("""COMPUTED_VALUE"""),546)</f>
        <v>546</v>
      </c>
    </row>
    <row r="4" spans="1:6" ht="99.75">
      <c r="A4" s="1">
        <v>647096</v>
      </c>
      <c r="B4" s="10" t="str">
        <f ca="1">IFERROR(__xludf.dummyfunction("""COMPUTED_VALUE"""),"Набор из 10 шт, Этикетка термотрансферная ПОЛУГЛЯНЕЦ (43х25 мм), 1000 
этикеток в ролике, 52199 (111972)")</f>
        <v>Набор из 10 шт, Этикетка термотрансферная ПОЛУГЛЯНЕЦ (43х25 мм), 1000 
этикеток в ролике, 52199 (111972)</v>
      </c>
      <c r="C4" s="1" t="str">
        <f ca="1">IFERROR(__xludf.dummyfunction("""COMPUTED_VALUE"""),"В наличии 202")</f>
        <v>В наличии 202</v>
      </c>
      <c r="D4" s="1">
        <f ca="1">IFERROR(__xludf.dummyfunction("""COMPUTED_VALUE"""),225)</f>
        <v>225</v>
      </c>
    </row>
    <row r="5" spans="1:6" ht="99.75">
      <c r="A5" s="1">
        <v>647307</v>
      </c>
      <c r="B5" s="10" t="str">
        <f ca="1">IFERROR(__xludf.dummyfunction("""COMPUTED_VALUE"""),"Набор из 2 шт, Риббон WAX, 60 мм х 300 м, диаметр втулки 25,4 мм (1 дюйм), 
красящий слой наружу (OUT), 363526 (363526)")</f>
        <v>Набор из 2 шт, Риббон WAX, 60 мм х 300 м, диаметр втулки 25,4 мм (1 дюйм), 
красящий слой наружу (OUT), 363526 (363526)</v>
      </c>
      <c r="C5" s="1" t="str">
        <f ca="1">IFERROR(__xludf.dummyfunction("""COMPUTED_VALUE"""),"В наличии 313")</f>
        <v>В наличии 313</v>
      </c>
      <c r="D5" s="1">
        <f ca="1">IFERROR(__xludf.dummyfunction("""COMPUTED_VALUE"""),197)</f>
        <v>197</v>
      </c>
    </row>
    <row r="6" spans="1:6" ht="99.75">
      <c r="A6" s="1">
        <v>650854</v>
      </c>
      <c r="B6" s="10" t="str">
        <f ca="1">IFERROR(__xludf.dummyfunction("""COMPUTED_VALUE"""),"Набор из 2 шт, Ценник большой ""Цена"" 50х40 мм белый, самоклеящийся, 
КОМПЛЕКТ 5 рулонов по 200 шт., BRAUBERG, 112357")</f>
        <v>Набор из 2 шт, Ценник большой "Цена" 50х40 мм белый, самоклеящийся, 
КОМПЛЕКТ 5 рулонов по 200 шт., BRAUBERG, 112357</v>
      </c>
      <c r="C6" s="1" t="str">
        <f ca="1">IFERROR(__xludf.dummyfunction("""COMPUTED_VALUE"""),"В наличии 215")</f>
        <v>В наличии 215</v>
      </c>
      <c r="D6" s="1">
        <f ca="1">IFERROR(__xludf.dummyfunction("""COMPUTED_VALUE"""),226)</f>
        <v>226</v>
      </c>
    </row>
    <row r="7" spans="1:6" ht="99.75">
      <c r="A7" s="1">
        <v>650868</v>
      </c>
      <c r="B7" s="10" t="str">
        <f ca="1">IFERROR(__xludf.dummyfunction("""COMPUTED_VALUE"""),"Набор из 2 шт, Ценник большой ""Цена"" 50х40 мм желтый, самоклеящийся, 
КОМПЛЕКТ 5 рулонов по 200 шт., BRAUBERG, 112358")</f>
        <v>Набор из 2 шт, Ценник большой "Цена" 50х40 мм желтый, самоклеящийся, 
КОМПЛЕКТ 5 рулонов по 200 шт., BRAUBERG, 112358</v>
      </c>
      <c r="C7" s="1" t="str">
        <f ca="1">IFERROR(__xludf.dummyfunction("""COMPUTED_VALUE"""),"В наличии 92")</f>
        <v>В наличии 92</v>
      </c>
      <c r="D7" s="1">
        <f ca="1">IFERROR(__xludf.dummyfunction("""COMPUTED_VALUE"""),379)</f>
        <v>379</v>
      </c>
    </row>
    <row r="8" spans="1:6" ht="99.75">
      <c r="A8" s="1">
        <v>656603</v>
      </c>
      <c r="B8" s="10" t="str">
        <f ca="1">IFERROR(__xludf.dummyfunction("""COMPUTED_VALUE"""),"Набор из 2 шт, Ценник большой ""Цена"" 50х40 мм зеленый, самоклеящийся, 
КОМПЛЕКТ 5 рулонов по 200 шт., BRAUBERG, 112359")</f>
        <v>Набор из 2 шт, Ценник большой "Цена" 50х40 мм зеленый, самоклеящийся, 
КОМПЛЕКТ 5 рулонов по 200 шт., BRAUBERG, 112359</v>
      </c>
      <c r="C8" s="1" t="str">
        <f ca="1">IFERROR(__xludf.dummyfunction("""COMPUTED_VALUE"""),"В наличии 366")</f>
        <v>В наличии 366</v>
      </c>
      <c r="D8" s="1">
        <f ca="1">IFERROR(__xludf.dummyfunction("""COMPUTED_VALUE"""),276)</f>
        <v>276</v>
      </c>
    </row>
    <row r="9" spans="1:6" ht="99.75">
      <c r="A9" s="1">
        <v>659890</v>
      </c>
      <c r="B9" s="10" t="str">
        <f ca="1">IFERROR(__xludf.dummyfunction("""COMPUTED_VALUE"""),"Набор из 2 шт, Ценник большой ""Цена"" 50х40 мм оранжевый самоклеящийся, 
КОМПЛЕКТ 5 рулонов по 200 шт., BRAUBERG, 112360")</f>
        <v>Набор из 2 шт, Ценник большой "Цена" 50х40 мм оранжевый самоклеящийся, 
КОМПЛЕКТ 5 рулонов по 200 шт., BRAUBERG, 112360</v>
      </c>
      <c r="C9" s="1" t="str">
        <f ca="1">IFERROR(__xludf.dummyfunction("""COMPUTED_VALUE"""),"В наличии 221")</f>
        <v>В наличии 221</v>
      </c>
      <c r="D9" s="1">
        <f ca="1">IFERROR(__xludf.dummyfunction("""COMPUTED_VALUE"""),321)</f>
        <v>321</v>
      </c>
    </row>
    <row r="10" spans="1:6" ht="42.75">
      <c r="A10" s="1">
        <v>662274</v>
      </c>
      <c r="B10" s="10" t="str">
        <f ca="1">IFERROR(__xludf.dummyfunction("""COMPUTED_VALUE"""),"Набор из 2 шт, Этикет-лента 26х12 мм (123577)")</f>
        <v>Набор из 2 шт, Этикет-лента 26х12 мм (123577)</v>
      </c>
      <c r="C10" s="1" t="str">
        <f ca="1">IFERROR(__xludf.dummyfunction("""COMPUTED_VALUE"""),"В наличии 1515")</f>
        <v>В наличии 1515</v>
      </c>
      <c r="D10" s="1">
        <f ca="1">IFERROR(__xludf.dummyfunction("""COMPUTED_VALUE"""),289)</f>
        <v>289</v>
      </c>
    </row>
    <row r="11" spans="1:6" ht="42.75">
      <c r="A11" s="1">
        <v>664439</v>
      </c>
      <c r="B11" s="10" t="str">
        <f ca="1">IFERROR(__xludf.dummyfunction("""COMPUTED_VALUE"""),"Набор из 2 шт, Этикет-лента 26х12 мм (123578)")</f>
        <v>Набор из 2 шт, Этикет-лента 26х12 мм (123578)</v>
      </c>
      <c r="C11" s="1" t="str">
        <f ca="1">IFERROR(__xludf.dummyfunction("""COMPUTED_VALUE"""),"В наличии 16")</f>
        <v>В наличии 16</v>
      </c>
      <c r="D11" s="1">
        <f ca="1">IFERROR(__xludf.dummyfunction("""COMPUTED_VALUE"""),294)</f>
        <v>294</v>
      </c>
    </row>
    <row r="12" spans="1:6" ht="42.75">
      <c r="A12" s="1">
        <v>668272</v>
      </c>
      <c r="B12" s="10" t="str">
        <f ca="1">IFERROR(__xludf.dummyfunction("""COMPUTED_VALUE"""),"Набор из 2 шт, Этикет-лента 26х12 мм (123579)")</f>
        <v>Набор из 2 шт, Этикет-лента 26х12 мм (123579)</v>
      </c>
      <c r="C12" s="1" t="str">
        <f ca="1">IFERROR(__xludf.dummyfunction("""COMPUTED_VALUE"""),"В наличии 12")</f>
        <v>В наличии 12</v>
      </c>
      <c r="D12" s="1">
        <f ca="1">IFERROR(__xludf.dummyfunction("""COMPUTED_VALUE"""),294)</f>
        <v>294</v>
      </c>
    </row>
    <row r="13" spans="1:6" ht="42.75">
      <c r="A13" s="1">
        <v>674910</v>
      </c>
      <c r="B13" s="10" t="str">
        <f ca="1">IFERROR(__xludf.dummyfunction("""COMPUTED_VALUE"""),"Набор из 2 шт, Этикет-лента 26х16 мм (123580)")</f>
        <v>Набор из 2 шт, Этикет-лента 26х16 мм (123580)</v>
      </c>
      <c r="C13" s="1" t="str">
        <f ca="1">IFERROR(__xludf.dummyfunction("""COMPUTED_VALUE"""),"В наличии 79")</f>
        <v>В наличии 79</v>
      </c>
      <c r="D13" s="1">
        <f ca="1">IFERROR(__xludf.dummyfunction("""COMPUTED_VALUE"""),169)</f>
        <v>169</v>
      </c>
    </row>
    <row r="14" spans="1:6" ht="42.75">
      <c r="A14" s="1">
        <v>676983</v>
      </c>
      <c r="B14" s="10" t="str">
        <f ca="1">IFERROR(__xludf.dummyfunction("""COMPUTED_VALUE"""),"Набор из 2 шт, Этикет-лента 26х16 мм (123581)")</f>
        <v>Набор из 2 шт, Этикет-лента 26х16 мм (123581)</v>
      </c>
      <c r="C14" s="1" t="str">
        <f ca="1">IFERROR(__xludf.dummyfunction("""COMPUTED_VALUE"""),"В наличии 854")</f>
        <v>В наличии 854</v>
      </c>
      <c r="D14" s="1">
        <f ca="1">IFERROR(__xludf.dummyfunction("""COMPUTED_VALUE"""),226)</f>
        <v>226</v>
      </c>
    </row>
    <row r="15" spans="1:6" ht="42.75">
      <c r="A15" s="1">
        <v>678253</v>
      </c>
      <c r="B15" s="10" t="str">
        <f ca="1">IFERROR(__xludf.dummyfunction("""COMPUTED_VALUE"""),"Набор из 2 шт, Этикет-лента 26х16 мм (123582)")</f>
        <v>Набор из 2 шт, Этикет-лента 26х16 мм (123582)</v>
      </c>
      <c r="C15" s="1" t="str">
        <f ca="1">IFERROR(__xludf.dummyfunction("""COMPUTED_VALUE"""),"В наличии 24")</f>
        <v>В наличии 24</v>
      </c>
      <c r="D15" s="1">
        <f ca="1">IFERROR(__xludf.dummyfunction("""COMPUTED_VALUE"""),379)</f>
        <v>379</v>
      </c>
    </row>
    <row r="16" spans="1:6" ht="42.75">
      <c r="A16" s="1">
        <v>678532</v>
      </c>
      <c r="B16" s="10" t="str">
        <f ca="1">IFERROR(__xludf.dummyfunction("""COMPUTED_VALUE"""),"Набор из 2 шт, Этикет-лента 26х16 мм (123583)")</f>
        <v>Набор из 2 шт, Этикет-лента 26х16 мм (123583)</v>
      </c>
      <c r="C16" s="1" t="str">
        <f ca="1">IFERROR(__xludf.dummyfunction("""COMPUTED_VALUE"""),"В наличии 102")</f>
        <v>В наличии 102</v>
      </c>
      <c r="D16" s="1">
        <f ca="1">IFERROR(__xludf.dummyfunction("""COMPUTED_VALUE"""),294)</f>
        <v>294</v>
      </c>
    </row>
    <row r="17" spans="1:4" ht="85.5">
      <c r="A17" s="1">
        <v>678912</v>
      </c>
      <c r="B17" s="10" t="str">
        <f ca="1">IFERROR(__xludf.dummyfunction("""COMPUTED_VALUE"""),"Набор из 2 шт, Этикет-лента 26х16 мм прямоугольная, белая, КОМПЛЕКТ 5 
рулонов по 800 штук., BRAUBERG, 114208")</f>
        <v>Набор из 2 шт, Этикет-лента 26х16 мм прямоугольная, белая, КОМПЛЕКТ 5 
рулонов по 800 штук., BRAUBERG, 114208</v>
      </c>
      <c r="C17" s="1" t="str">
        <f ca="1">IFERROR(__xludf.dummyfunction("""COMPUTED_VALUE"""),"В наличии 847")</f>
        <v>В наличии 847</v>
      </c>
      <c r="D17" s="1">
        <f ca="1">IFERROR(__xludf.dummyfunction("""COMPUTED_VALUE"""),485)</f>
        <v>485</v>
      </c>
    </row>
    <row r="18" spans="1:4" ht="99.75">
      <c r="A18" s="1">
        <v>681358</v>
      </c>
      <c r="B18" s="10" t="str">
        <f ca="1">IFERROR(__xludf.dummyfunction("""COMPUTED_VALUE"""),"Набор из 2 шт, Этикетка термотрансферная ПОЛИПРОПИЛЕНОВАЯ (100х150 мм), 250 
этикеток в ролике, 53078")</f>
        <v>Набор из 2 шт, Этикетка термотрансферная ПОЛИПРОПИЛЕНОВАЯ (100х150 мм), 250 
этикеток в ролике, 53078</v>
      </c>
      <c r="C18" s="1" t="str">
        <f ca="1">IFERROR(__xludf.dummyfunction("""COMPUTED_VALUE"""),"В наличии 17")</f>
        <v>В наличии 17</v>
      </c>
      <c r="D18" s="1">
        <f ca="1">IFERROR(__xludf.dummyfunction("""COMPUTED_VALUE"""),430)</f>
        <v>430</v>
      </c>
    </row>
    <row r="19" spans="1:4" ht="99.75">
      <c r="A19" s="1">
        <v>682288</v>
      </c>
      <c r="B19" s="10" t="str">
        <f ca="1">IFERROR(__xludf.dummyfunction("""COMPUTED_VALUE"""),"Набор из 2 шт, Этикетка термотрансферная ПОЛИПРОПИЛЕНОВАЯ (100х72 мм), 500 
этикеток в ролике, 53082")</f>
        <v>Набор из 2 шт, Этикетка термотрансферная ПОЛИПРОПИЛЕНОВАЯ (100х72 мм), 500 
этикеток в ролике, 53082</v>
      </c>
      <c r="C19" s="1" t="str">
        <f ca="1">IFERROR(__xludf.dummyfunction("""COMPUTED_VALUE"""),"В наличии 181")</f>
        <v>В наличии 181</v>
      </c>
      <c r="D19" s="1">
        <f ca="1">IFERROR(__xludf.dummyfunction("""COMPUTED_VALUE"""),311)</f>
        <v>311</v>
      </c>
    </row>
    <row r="20" spans="1:4" ht="99.75">
      <c r="A20" s="1">
        <v>682829</v>
      </c>
      <c r="B20" s="10" t="str">
        <f ca="1">IFERROR(__xludf.dummyfunction("""COMPUTED_VALUE"""),"Набор из 2 шт, Этикетка термотрансферная ПОЛУГЛЯНЕЦ (100х150 мм), 250 
этикеток в ролике, 111976 (111976)")</f>
        <v>Набор из 2 шт, Этикетка термотрансферная ПОЛУГЛЯНЕЦ (100х150 мм), 250 
этикеток в ролике, 111976 (111976)</v>
      </c>
      <c r="C20" s="1" t="str">
        <f ca="1">IFERROR(__xludf.dummyfunction("""COMPUTED_VALUE"""),"В наличии 91")</f>
        <v>В наличии 91</v>
      </c>
      <c r="D20" s="1">
        <f ca="1">IFERROR(__xludf.dummyfunction("""COMPUTED_VALUE"""),349)</f>
        <v>349</v>
      </c>
    </row>
    <row r="21" spans="1:4" ht="114">
      <c r="A21" s="1">
        <v>683157</v>
      </c>
      <c r="B21" s="10" t="str">
        <f ca="1">IFERROR(__xludf.dummyfunction("""COMPUTED_VALUE"""),"Набор из 2 шт, Этикетка ТермоЭко (100х100 мм), 1000 этикеток в ролике, 
прозрачная подложка, светостойкость до 2 месяцев, 114509, 54167 114509")</f>
        <v>Набор из 2 шт, Этикетка ТермоЭко (100х100 мм), 1000 этикеток в ролике, 
прозрачная подложка, светостойкость до 2 месяцев, 114509, 54167 114509</v>
      </c>
      <c r="C21" s="1" t="str">
        <f ca="1">IFERROR(__xludf.dummyfunction("""COMPUTED_VALUE"""),"В наличии 114")</f>
        <v>В наличии 114</v>
      </c>
      <c r="D21" s="1">
        <f ca="1">IFERROR(__xludf.dummyfunction("""COMPUTED_VALUE"""),343)</f>
        <v>343</v>
      </c>
    </row>
    <row r="22" spans="1:4" ht="85.5">
      <c r="A22" s="1">
        <v>684372</v>
      </c>
      <c r="B22" s="10" t="str">
        <f ca="1">IFERROR(__xludf.dummyfunction("""COMPUTED_VALUE"""),"Набор из 2 шт, Этикетка ТермоЭко (100х100 мм), 1000 этикеток в ролике, 
светостойкость до 2 месяцев, 111964")</f>
        <v>Набор из 2 шт, Этикетка ТермоЭко (100х100 мм), 1000 этикеток в ролике, 
светостойкость до 2 месяцев, 111964</v>
      </c>
      <c r="C22" s="1" t="str">
        <f ca="1">IFERROR(__xludf.dummyfunction("""COMPUTED_VALUE"""),"В наличии 3")</f>
        <v>В наличии 3</v>
      </c>
      <c r="D22" s="1">
        <f ca="1">IFERROR(__xludf.dummyfunction("""COMPUTED_VALUE"""),360)</f>
        <v>360</v>
      </c>
    </row>
    <row r="23" spans="1:4" ht="85.5">
      <c r="A23" s="1">
        <v>685033</v>
      </c>
      <c r="B23" s="10" t="str">
        <f ca="1">IFERROR(__xludf.dummyfunction("""COMPUTED_VALUE"""),"Набор из 3 шт, Риббон WAX, 40 мм х 300 м, диаметр втулки 25,4 мм (1 дюйм), 
красящий слой наружу OUT, 363524 (363524)")</f>
        <v>Набор из 3 шт, Риббон WAX, 40 мм х 300 м, диаметр втулки 25,4 мм (1 дюйм), 
красящий слой наружу OUT, 363524 (363524)</v>
      </c>
      <c r="C23" s="1" t="str">
        <f ca="1">IFERROR(__xludf.dummyfunction("""COMPUTED_VALUE"""),"В наличии 31")</f>
        <v>В наличии 31</v>
      </c>
      <c r="D23" s="1">
        <f ca="1">IFERROR(__xludf.dummyfunction("""COMPUTED_VALUE"""),602)</f>
        <v>602</v>
      </c>
    </row>
    <row r="24" spans="1:4" ht="114">
      <c r="A24" s="1">
        <v>686523</v>
      </c>
      <c r="B24" s="10" t="str">
        <f ca="1">IFERROR(__xludf.dummyfunction("""COMPUTED_VALUE"""),"Набор из 3 шт, Риббон WAX/RESIN, 57 мм х 74 м, втулка диаметр 12,7 мм (0,5 
дюйма) х ширина 57 мм, красящий слой наружу (OUT), 363531 (363531)")</f>
        <v>Набор из 3 шт, Риббон WAX/RESIN, 57 мм х 74 м, втулка диаметр 12,7 мм (0,5 
дюйма) х ширина 57 мм, красящий слой наружу (OUT), 363531 (363531)</v>
      </c>
      <c r="C24" s="1" t="str">
        <f ca="1">IFERROR(__xludf.dummyfunction("""COMPUTED_VALUE"""),"В наличии 94")</f>
        <v>В наличии 94</v>
      </c>
      <c r="D24" s="1">
        <f ca="1">IFERROR(__xludf.dummyfunction("""COMPUTED_VALUE"""),50)</f>
        <v>50</v>
      </c>
    </row>
    <row r="25" spans="1:4" ht="99.75">
      <c r="A25" s="1">
        <v>686845</v>
      </c>
      <c r="B25" s="10" t="str">
        <f ca="1">IFERROR(__xludf.dummyfunction("""COMPUTED_VALUE"""),"Набор из 3 шт, Ценник средний ""Цена"" 35х25 мм белый, самоклеящийся, 
КОМПЛЕКТ 5 рулонов по 250 шт., BRAUBERG, 112362")</f>
        <v>Набор из 3 шт, Ценник средний "Цена" 35х25 мм белый, самоклеящийся, 
КОМПЛЕКТ 5 рулонов по 250 шт., BRAUBERG, 112362</v>
      </c>
      <c r="C25" s="1" t="str">
        <f ca="1">IFERROR(__xludf.dummyfunction("""COMPUTED_VALUE"""),"В наличии 207")</f>
        <v>В наличии 207</v>
      </c>
      <c r="D25" s="1">
        <f ca="1">IFERROR(__xludf.dummyfunction("""COMPUTED_VALUE"""),371)</f>
        <v>371</v>
      </c>
    </row>
    <row r="26" spans="1:4" ht="28.5">
      <c r="A26" s="1">
        <v>688999</v>
      </c>
      <c r="B26" s="10" t="str">
        <f ca="1">IFERROR(__xludf.dummyfunction("""COMPUTED_VALUE"""),"Набор из 3 шт, Этикет-лента ""Цена"" (123585)")</f>
        <v>Набор из 3 шт, Этикет-лента "Цена" (123585)</v>
      </c>
      <c r="C26" s="1" t="str">
        <f ca="1">IFERROR(__xludf.dummyfunction("""COMPUTED_VALUE"""),"В наличии 117")</f>
        <v>В наличии 117</v>
      </c>
      <c r="D26" s="1">
        <f ca="1">IFERROR(__xludf.dummyfunction("""COMPUTED_VALUE"""),682)</f>
        <v>682</v>
      </c>
    </row>
    <row r="27" spans="1:4" ht="28.5">
      <c r="A27" s="1">
        <v>689556</v>
      </c>
      <c r="B27" s="10" t="str">
        <f ca="1">IFERROR(__xludf.dummyfunction("""COMPUTED_VALUE"""),"Набор из 3 шт, Этикет-лента ""Цена"" (123586)")</f>
        <v>Набор из 3 шт, Этикет-лента "Цена" (123586)</v>
      </c>
      <c r="C27" s="1" t="str">
        <f ca="1">IFERROR(__xludf.dummyfunction("""COMPUTED_VALUE"""),"В наличии 49")</f>
        <v>В наличии 49</v>
      </c>
      <c r="D27" s="1">
        <f ca="1">IFERROR(__xludf.dummyfunction("""COMPUTED_VALUE"""),266)</f>
        <v>266</v>
      </c>
    </row>
    <row r="28" spans="1:4" ht="28.5">
      <c r="A28" s="1">
        <v>690780</v>
      </c>
      <c r="B28" s="10" t="str">
        <f ca="1">IFERROR(__xludf.dummyfunction("""COMPUTED_VALUE"""),"Набор из 3 шт, Этикет-лента ""Цена"" (123587)")</f>
        <v>Набор из 3 шт, Этикет-лента "Цена" (123587)</v>
      </c>
      <c r="C28" s="1" t="str">
        <f ca="1">IFERROR(__xludf.dummyfunction("""COMPUTED_VALUE"""),"В наличии 171")</f>
        <v>В наличии 171</v>
      </c>
      <c r="D28" s="1">
        <f ca="1">IFERROR(__xludf.dummyfunction("""COMPUTED_VALUE"""),328)</f>
        <v>328</v>
      </c>
    </row>
    <row r="29" spans="1:4" ht="28.5">
      <c r="A29" s="1">
        <v>690784</v>
      </c>
      <c r="B29" s="10" t="str">
        <f ca="1">IFERROR(__xludf.dummyfunction("""COMPUTED_VALUE"""),"Набор из 3 шт, Этикет-лента ""Цена"" (123588)")</f>
        <v>Набор из 3 шт, Этикет-лента "Цена" (123588)</v>
      </c>
      <c r="C29" s="1" t="str">
        <f ca="1">IFERROR(__xludf.dummyfunction("""COMPUTED_VALUE"""),"В наличии 22")</f>
        <v>В наличии 22</v>
      </c>
      <c r="D29" s="1">
        <f ca="1">IFERROR(__xludf.dummyfunction("""COMPUTED_VALUE"""),533)</f>
        <v>533</v>
      </c>
    </row>
    <row r="30" spans="1:4" ht="28.5">
      <c r="A30" s="1">
        <v>690942</v>
      </c>
      <c r="B30" s="10" t="str">
        <f ca="1">IFERROR(__xludf.dummyfunction("""COMPUTED_VALUE"""),"Набор из 3 шт, Этикет-лента ""Цена"" (123589)")</f>
        <v>Набор из 3 шт, Этикет-лента "Цена" (123589)</v>
      </c>
      <c r="C30" s="1" t="str">
        <f ca="1">IFERROR(__xludf.dummyfunction("""COMPUTED_VALUE"""),"В наличии 61")</f>
        <v>В наличии 61</v>
      </c>
      <c r="D30" s="1">
        <f ca="1">IFERROR(__xludf.dummyfunction("""COMPUTED_VALUE"""),204)</f>
        <v>204</v>
      </c>
    </row>
    <row r="31" spans="1:4" ht="28.5">
      <c r="A31" s="1">
        <v>691462</v>
      </c>
      <c r="B31" s="10" t="str">
        <f ca="1">IFERROR(__xludf.dummyfunction("""COMPUTED_VALUE"""),"Набор из 3 шт, Этикет-лента ""Цена"" (123591)")</f>
        <v>Набор из 3 шт, Этикет-лента "Цена" (123591)</v>
      </c>
      <c r="C31" s="1" t="str">
        <f ca="1">IFERROR(__xludf.dummyfunction("""COMPUTED_VALUE"""),"В наличии 63")</f>
        <v>В наличии 63</v>
      </c>
      <c r="D31" s="1">
        <f ca="1">IFERROR(__xludf.dummyfunction("""COMPUTED_VALUE"""),165)</f>
        <v>165</v>
      </c>
    </row>
    <row r="32" spans="1:4" ht="85.5">
      <c r="A32" s="1">
        <v>692907</v>
      </c>
      <c r="B32" s="10" t="str">
        <f ca="1">IFERROR(__xludf.dummyfunction("""COMPUTED_VALUE"""),"Набор из 3 шт, Этикет-лента 21х12 мм, прямоугольная, желтая, комплект 5 
рулонов по 600 шт., BRAUBERG (123569)")</f>
        <v>Набор из 3 шт, Этикет-лента 21х12 мм, прямоугольная, желтая, комплект 5 
рулонов по 600 шт., BRAUBERG (123569)</v>
      </c>
      <c r="C32" s="1" t="str">
        <f ca="1">IFERROR(__xludf.dummyfunction("""COMPUTED_VALUE"""),"В наличии 5")</f>
        <v>В наличии 5</v>
      </c>
      <c r="D32" s="1">
        <f ca="1">IFERROR(__xludf.dummyfunction("""COMPUTED_VALUE"""),650)</f>
        <v>650</v>
      </c>
    </row>
    <row r="33" spans="1:5" ht="57">
      <c r="A33" s="1">
        <v>693163</v>
      </c>
      <c r="B33" s="10" t="str">
        <f ca="1">IFERROR(__xludf.dummyfunction("""COMPUTED_VALUE"""),"Набор из 4 шт, Красящий ролик для этикет-пистолетов (290345)")</f>
        <v>Набор из 4 шт, Красящий ролик для этикет-пистолетов (290345)</v>
      </c>
      <c r="C33" s="1" t="str">
        <f ca="1">IFERROR(__xludf.dummyfunction("""COMPUTED_VALUE"""),"В наличии 91")</f>
        <v>В наличии 91</v>
      </c>
      <c r="D33" s="1">
        <f ca="1">IFERROR(__xludf.dummyfunction("""COMPUTED_VALUE"""),110)</f>
        <v>110</v>
      </c>
    </row>
    <row r="34" spans="1:5" ht="57">
      <c r="A34" s="1">
        <v>697661</v>
      </c>
      <c r="B34" s="10" t="str">
        <f ca="1">IFERROR(__xludf.dummyfunction("""COMPUTED_VALUE"""),"Набор из 4 шт, Красящий ролик для этикет-пистолетов 20 мм (290346)")</f>
        <v>Набор из 4 шт, Красящий ролик для этикет-пистолетов 20 мм (290346)</v>
      </c>
      <c r="C34" s="1" t="str">
        <f ca="1">IFERROR(__xludf.dummyfunction("""COMPUTED_VALUE"""),"В наличии 20")</f>
        <v>В наличии 20</v>
      </c>
      <c r="D34" s="1">
        <f ca="1">IFERROR(__xludf.dummyfunction("""COMPUTED_VALUE"""),310)</f>
        <v>310</v>
      </c>
    </row>
    <row r="35" spans="1:5" ht="114">
      <c r="A35" s="1">
        <v>698708</v>
      </c>
      <c r="B35" s="10" t="str">
        <f ca="1">IFERROR(__xludf.dummyfunction("""COMPUTED_VALUE"""),"Набор из 4 шт, Риббон WAX, 110мм х 74м, втулка диаметр 12,7 мм (0,5 дюйма) 
х ширина 110 мм, красящий слой наружу (OUT), 363527 (363527)")</f>
        <v>Набор из 4 шт, Риббон WAX, 110мм х 74м, втулка диаметр 12,7 мм (0,5 дюйма) 
х ширина 110 мм, красящий слой наружу (OUT), 363527 (363527)</v>
      </c>
      <c r="C35" s="1" t="str">
        <f ca="1">IFERROR(__xludf.dummyfunction("""COMPUTED_VALUE"""),"В наличии 39")</f>
        <v>В наличии 39</v>
      </c>
      <c r="D35" s="1">
        <f ca="1">IFERROR(__xludf.dummyfunction("""COMPUTED_VALUE"""),660)</f>
        <v>660</v>
      </c>
    </row>
    <row r="36" spans="1:5" ht="42.75">
      <c r="A36" s="1">
        <v>699009</v>
      </c>
      <c r="B36" s="10" t="str">
        <f ca="1">IFERROR(__xludf.dummyfunction("""COMPUTED_VALUE"""),"Набор из 4 шт, Этикет-лента 22х12 мм (123573)")</f>
        <v>Набор из 4 шт, Этикет-лента 22х12 мм (123573)</v>
      </c>
      <c r="C36" s="1" t="str">
        <f ca="1">IFERROR(__xludf.dummyfunction("""COMPUTED_VALUE"""),"В наличии 20")</f>
        <v>В наличии 20</v>
      </c>
      <c r="D36" s="1">
        <f ca="1">IFERROR(__xludf.dummyfunction("""COMPUTED_VALUE"""),440)</f>
        <v>440</v>
      </c>
    </row>
    <row r="37" spans="1:5" ht="42.75">
      <c r="A37" s="1">
        <v>699728</v>
      </c>
      <c r="B37" s="10" t="str">
        <f ca="1">IFERROR(__xludf.dummyfunction("""COMPUTED_VALUE"""),"Набор из 4 шт, Этикет-лента 22х12 мм (123574)")</f>
        <v>Набор из 4 шт, Этикет-лента 22х12 мм (123574)</v>
      </c>
      <c r="C37" s="1" t="str">
        <f ca="1">IFERROR(__xludf.dummyfunction("""COMPUTED_VALUE"""),"В наличии 143")</f>
        <v>В наличии 143</v>
      </c>
      <c r="D37" s="1">
        <f ca="1">IFERROR(__xludf.dummyfunction("""COMPUTED_VALUE"""),1270)</f>
        <v>1270</v>
      </c>
    </row>
    <row r="38" spans="1:5" ht="85.5">
      <c r="A38" s="7">
        <v>700489</v>
      </c>
      <c r="B38" s="8" t="str">
        <f ca="1">IFERROR(__xludf.dummyfunction("IMPORTXML(getIdItems(""https://www.lustrof.ru/category/ofis/kanctovary/bumaga/ehtiketki-i-cenniki/?page="",3),""//span[@class='products__item-info-name']"")"),"Риббон RESIN, 60 мм х 300 м, диаметр втулки 25,4 мм (1 дюйм), красящий слой 
наружу (OUT), 363537 (363537)")</f>
        <v>Риббон RESIN, 60 мм х 300 м, диаметр втулки 25,4 мм (1 дюйм), красящий слой 
наружу (OUT), 363537 (363537)</v>
      </c>
      <c r="C38" s="7" t="str">
        <f ca="1">IFERROR(__xludf.dummyfunction("IMPORTXML(getIdItems(""https://www.lustrof.ru/category/ofis/kanctovary/bumaga/ehtiketki-i-cenniki/?page="",3),""//span[@class='products__available-in-stock']"")"),"В наличии 53")</f>
        <v>В наличии 53</v>
      </c>
      <c r="D38" s="7">
        <f ca="1">IFERROR(__xludf.dummyfunction("IMPORTXML(getIdItems(""https://www.lustrof.ru/category/ofis/kanctovary/kantselyarskie-melochi/?page="",3),""//span[@class='products__price-new']/text()"")"),672)</f>
        <v>672</v>
      </c>
      <c r="E38" s="11"/>
    </row>
    <row r="39" spans="1:5" ht="85.5">
      <c r="A39" s="1">
        <v>700649</v>
      </c>
      <c r="B39" s="10" t="str">
        <f ca="1">IFERROR(__xludf.dummyfunction("""COMPUTED_VALUE"""),"Риббон WAX, 110 мм х 300 м, диаметр втулки 25,4 мм (1 дюйм), красящий слой 
наружу (OUT), 363528 (363528)")</f>
        <v>Риббон WAX, 110 мм х 300 м, диаметр втулки 25,4 мм (1 дюйм), красящий слой 
наружу (OUT), 363528 (363528)</v>
      </c>
      <c r="C39" s="1" t="str">
        <f ca="1">IFERROR(__xludf.dummyfunction("""COMPUTED_VALUE"""),"В наличии 91")</f>
        <v>В наличии 91</v>
      </c>
      <c r="D39" s="1">
        <f ca="1">IFERROR(__xludf.dummyfunction("""COMPUTED_VALUE"""),1548)</f>
        <v>1548</v>
      </c>
    </row>
    <row r="40" spans="1:5" ht="85.5">
      <c r="A40" s="1">
        <v>704520</v>
      </c>
      <c r="B40" s="10" t="str">
        <f ca="1">IFERROR(__xludf.dummyfunction("""COMPUTED_VALUE"""),"Риббон WAX, 110 мм х 450 м, диаметр втулки 25,4 мм (1 дюйм), красящий слой 
наружу (OUT), 363529 (363529)")</f>
        <v>Риббон WAX, 110 мм х 450 м, диаметр втулки 25,4 мм (1 дюйм), красящий слой 
наружу (OUT), 363529 (363529)</v>
      </c>
      <c r="C40" s="1" t="str">
        <f ca="1">IFERROR(__xludf.dummyfunction("""COMPUTED_VALUE"""),"В наличии 76")</f>
        <v>В наличии 76</v>
      </c>
      <c r="D40" s="1">
        <f ca="1">IFERROR(__xludf.dummyfunction("""COMPUTED_VALUE"""),1512)</f>
        <v>1512</v>
      </c>
    </row>
    <row r="41" spans="1:5" ht="85.5">
      <c r="A41" s="1">
        <v>704540</v>
      </c>
      <c r="B41" s="10" t="str">
        <f ca="1">IFERROR(__xludf.dummyfunction("""COMPUTED_VALUE"""),"Риббон WAX, 40 мм х 300 м, диаметр втулки 25,4 мм (1 дюйм), красящий слой 
наружу OUT, 363524 (363524)")</f>
        <v>Риббон WAX, 40 мм х 300 м, диаметр втулки 25,4 мм (1 дюйм), красящий слой 
наружу OUT, 363524 (363524)</v>
      </c>
      <c r="C41" s="1" t="str">
        <f ca="1">IFERROR(__xludf.dummyfunction("""COMPUTED_VALUE"""),"В наличии 268")</f>
        <v>В наличии 268</v>
      </c>
      <c r="D41" s="1">
        <f ca="1">IFERROR(__xludf.dummyfunction("""COMPUTED_VALUE"""),1065)</f>
        <v>1065</v>
      </c>
    </row>
    <row r="42" spans="1:5" ht="85.5">
      <c r="A42" s="1">
        <v>705178</v>
      </c>
      <c r="B42" s="10" t="str">
        <f ca="1">IFERROR(__xludf.dummyfunction("""COMPUTED_VALUE"""),"Риббон WAX, 60 мм х 300 м, диаметр втулки 25,4 мм (1 дюйм), красящий слой 
наружу (OUT), 363526 (363526)")</f>
        <v>Риббон WAX, 60 мм х 300 м, диаметр втулки 25,4 мм (1 дюйм), красящий слой 
наружу (OUT), 363526 (363526)</v>
      </c>
      <c r="C42" s="1" t="str">
        <f ca="1">IFERROR(__xludf.dummyfunction("""COMPUTED_VALUE"""),"В наличии 378")</f>
        <v>В наличии 378</v>
      </c>
      <c r="D42" s="1">
        <f ca="1">IFERROR(__xludf.dummyfunction("""COMPUTED_VALUE"""),765)</f>
        <v>765</v>
      </c>
    </row>
    <row r="43" spans="1:5" ht="99.75">
      <c r="A43" s="1">
        <v>705794</v>
      </c>
      <c r="B43" s="10" t="str">
        <f ca="1">IFERROR(__xludf.dummyfunction("""COMPUTED_VALUE"""),"Риббон WAX/RESIN 110 мм х 74 м, втулка диаметр 12,7 мм (0,5 дюйма) х ширина 
110 мм, красящий слой наружу (OUT) 363533 (363533)")</f>
        <v>Риббон WAX/RESIN 110 мм х 74 м, втулка диаметр 12,7 мм (0,5 дюйма) х ширина 
110 мм, красящий слой наружу (OUT) 363533 (363533)</v>
      </c>
      <c r="C43" s="1" t="str">
        <f ca="1">IFERROR(__xludf.dummyfunction("""COMPUTED_VALUE"""),"В наличии 24")</f>
        <v>В наличии 24</v>
      </c>
      <c r="D43" s="1">
        <f ca="1">IFERROR(__xludf.dummyfunction("""COMPUTED_VALUE"""),818)</f>
        <v>818</v>
      </c>
    </row>
    <row r="44" spans="1:5" ht="99.75">
      <c r="A44" s="1">
        <v>705840</v>
      </c>
      <c r="B44" s="10" t="str">
        <f ca="1">IFERROR(__xludf.dummyfunction("""COMPUTED_VALUE"""),"Риббон WAX/RESIN, 110 мм х 300 м, диаметр втулки 25,4 мм (1 дюйм), красящий 
слой наружу (OUT), 363534 (363534)")</f>
        <v>Риббон WAX/RESIN, 110 мм х 300 м, диаметр втулки 25,4 мм (1 дюйм), красящий 
слой наружу (OUT), 363534 (363534)</v>
      </c>
      <c r="C44" s="1" t="str">
        <f ca="1">IFERROR(__xludf.dummyfunction("""COMPUTED_VALUE"""),"В наличии 206")</f>
        <v>В наличии 206</v>
      </c>
      <c r="D44" s="1">
        <f ca="1">IFERROR(__xludf.dummyfunction("""COMPUTED_VALUE"""),576)</f>
        <v>576</v>
      </c>
    </row>
    <row r="45" spans="1:5" ht="99.75">
      <c r="A45" s="1">
        <v>706597</v>
      </c>
      <c r="B45" s="10" t="str">
        <f ca="1">IFERROR(__xludf.dummyfunction("""COMPUTED_VALUE"""),"Риббон WAX/RESIN, 40 мм х 300 м, диаметр втулки 25,4 мм (1 дюйм), красящий 
слой наружу (OUT), 363530 (363530)")</f>
        <v>Риббон WAX/RESIN, 40 мм х 300 м, диаметр втулки 25,4 мм (1 дюйм), красящий 
слой наружу (OUT), 363530 (363530)</v>
      </c>
      <c r="C45" s="1" t="str">
        <f ca="1">IFERROR(__xludf.dummyfunction("""COMPUTED_VALUE"""),"В наличии 131")</f>
        <v>В наличии 131</v>
      </c>
      <c r="D45" s="1">
        <f ca="1">IFERROR(__xludf.dummyfunction("""COMPUTED_VALUE"""),722)</f>
        <v>722</v>
      </c>
    </row>
    <row r="46" spans="1:5" ht="99.75">
      <c r="A46" s="1">
        <v>707890</v>
      </c>
      <c r="B46" s="10" t="str">
        <f ca="1">IFERROR(__xludf.dummyfunction("""COMPUTED_VALUE"""),"Риббон WAX/RESIN, 57 мм х 74 м, втулка диаметр 12,7 мм (0,5 дюйма) х ширина 
57 мм, красящий слой наружу (OUT), 363531 (363531)")</f>
        <v>Риббон WAX/RESIN, 57 мм х 74 м, втулка диаметр 12,7 мм (0,5 дюйма) х ширина 
57 мм, красящий слой наружу (OUT), 363531 (363531)</v>
      </c>
      <c r="C46" s="1" t="str">
        <f ca="1">IFERROR(__xludf.dummyfunction("""COMPUTED_VALUE"""),"В наличии 355")</f>
        <v>В наличии 355</v>
      </c>
      <c r="D46" s="1">
        <f ca="1">IFERROR(__xludf.dummyfunction("""COMPUTED_VALUE"""),642)</f>
        <v>642</v>
      </c>
    </row>
    <row r="47" spans="1:5" ht="99.75">
      <c r="A47" s="1">
        <v>709027</v>
      </c>
      <c r="B47" s="10" t="str">
        <f ca="1">IFERROR(__xludf.dummyfunction("""COMPUTED_VALUE"""),"Риббон WAX/RESIN, 60 мм х 300 м, диаметр втулки 25,4 мм (1 дюйм), красящий 
слой наружу (OUT), 363532 (363532)")</f>
        <v>Риббон WAX/RESIN, 60 мм х 300 м, диаметр втулки 25,4 мм (1 дюйм), красящий 
слой наружу (OUT), 363532 (363532)</v>
      </c>
      <c r="C47" s="1" t="str">
        <f ca="1">IFERROR(__xludf.dummyfunction("""COMPUTED_VALUE"""),"В наличии 252")</f>
        <v>В наличии 252</v>
      </c>
      <c r="D47" s="1">
        <f ca="1">IFERROR(__xludf.dummyfunction("""COMPUTED_VALUE"""),578)</f>
        <v>578</v>
      </c>
    </row>
    <row r="48" spans="1:5" ht="114">
      <c r="A48" s="1">
        <v>709629</v>
      </c>
      <c r="B48" s="10" t="str">
        <f ca="1">IFERROR(__xludf.dummyfunction("""COMPUTED_VALUE"""),"Ценник большой ""Цена"" 50х40 мм белый, самоклеящийся, КОМПЛЕКТ 5 рулонов по 
200 шт., BRAUBERG, 112357")</f>
        <v>Ценник большой "Цена" 50х40 мм белый, самоклеящийся, КОМПЛЕКТ 5 рулонов по 
200 шт., BRAUBERG, 112357</v>
      </c>
      <c r="C48" s="1" t="str">
        <f ca="1">IFERROR(__xludf.dummyfunction("""COMPUTED_VALUE"""),"В наличии 2181")</f>
        <v>В наличии 2181</v>
      </c>
      <c r="D48" s="1">
        <f ca="1">IFERROR(__xludf.dummyfunction("""COMPUTED_VALUE"""),560)</f>
        <v>560</v>
      </c>
    </row>
    <row r="49" spans="1:4" ht="114">
      <c r="A49" s="1">
        <v>709723</v>
      </c>
      <c r="B49" s="10" t="str">
        <f ca="1">IFERROR(__xludf.dummyfunction("""COMPUTED_VALUE"""),"Ценник большой ""Цена"" 50х40 мм желтый, самоклеящийся, КОМПЛЕКТ 5 рулонов по 
200 шт., BRAUBERG, 112358")</f>
        <v>Ценник большой "Цена" 50х40 мм желтый, самоклеящийся, КОМПЛЕКТ 5 рулонов по 
200 шт., BRAUBERG, 112358</v>
      </c>
      <c r="C49" s="1" t="str">
        <f ca="1">IFERROR(__xludf.dummyfunction("""COMPUTED_VALUE"""),"В наличии 4401")</f>
        <v>В наличии 4401</v>
      </c>
      <c r="D49" s="1">
        <f ca="1">IFERROR(__xludf.dummyfunction("""COMPUTED_VALUE"""),1122)</f>
        <v>1122</v>
      </c>
    </row>
    <row r="50" spans="1:4" ht="99.75">
      <c r="A50" s="1">
        <v>710264</v>
      </c>
      <c r="B50" s="10" t="str">
        <f ca="1">IFERROR(__xludf.dummyfunction("""COMPUTED_VALUE"""),"Ценник большой ""Цена"" 50х40 мм зеленый, самоклеящийся, КОМПЛЕКТ 5 рулонов 
по 200 шт., BRAUBERG, 112359")</f>
        <v>Ценник большой "Цена" 50х40 мм зеленый, самоклеящийся, КОМПЛЕКТ 5 рулонов 
по 200 шт., BRAUBERG, 112359</v>
      </c>
      <c r="C50" s="1" t="str">
        <f ca="1">IFERROR(__xludf.dummyfunction("""COMPUTED_VALUE"""),"В наличии 3628")</f>
        <v>В наличии 3628</v>
      </c>
      <c r="D50" s="1">
        <f ca="1">IFERROR(__xludf.dummyfunction("""COMPUTED_VALUE"""),558)</f>
        <v>558</v>
      </c>
    </row>
    <row r="51" spans="1:4" ht="99.75">
      <c r="A51" s="1">
        <v>710278</v>
      </c>
      <c r="B51" s="10" t="str">
        <f ca="1">IFERROR(__xludf.dummyfunction("""COMPUTED_VALUE"""),"Ценник большой ""Цена"" 50х40 мм оранжевый самоклеящийся, КОМПЛЕКТ 5 рулонов 
по 200 шт., BRAUBERG, 112360")</f>
        <v>Ценник большой "Цена" 50х40 мм оранжевый самоклеящийся, КОМПЛЕКТ 5 рулонов 
по 200 шт., BRAUBERG, 112360</v>
      </c>
      <c r="C51" s="1" t="str">
        <f ca="1">IFERROR(__xludf.dummyfunction("""COMPUTED_VALUE"""),"В наличии 2939")</f>
        <v>В наличии 2939</v>
      </c>
      <c r="D51" s="1">
        <f ca="1">IFERROR(__xludf.dummyfunction("""COMPUTED_VALUE"""),714)</f>
        <v>714</v>
      </c>
    </row>
    <row r="52" spans="1:4" ht="114">
      <c r="A52" s="1">
        <v>710963</v>
      </c>
      <c r="B52" s="10" t="str">
        <f ca="1">IFERROR(__xludf.dummyfunction("""COMPUTED_VALUE"""),"Ценник средний ""Цена"" 35х25 мм белый, самоклеящийся, КОМПЛЕКТ 5 рулонов по 
250 шт., BRAUBERG, 112362")</f>
        <v>Ценник средний "Цена" 35х25 мм белый, самоклеящийся, КОМПЛЕКТ 5 рулонов по 
250 шт., BRAUBERG, 112362</v>
      </c>
      <c r="C52" s="1" t="str">
        <f ca="1">IFERROR(__xludf.dummyfunction("""COMPUTED_VALUE"""),"В наличии 1382")</f>
        <v>В наличии 1382</v>
      </c>
      <c r="D52" s="1">
        <f ca="1">IFERROR(__xludf.dummyfunction("""COMPUTED_VALUE"""),560)</f>
        <v>560</v>
      </c>
    </row>
    <row r="53" spans="1:4" ht="28.5">
      <c r="A53" s="1">
        <v>711069</v>
      </c>
      <c r="B53" s="10" t="str">
        <f ca="1">IFERROR(__xludf.dummyfunction("""COMPUTED_VALUE"""),"Этикет-лента ""Цена"" (123584)")</f>
        <v>Этикет-лента "Цена" (123584)</v>
      </c>
      <c r="C53" s="1" t="str">
        <f ca="1">IFERROR(__xludf.dummyfunction("""COMPUTED_VALUE"""),"В наличии 4659")</f>
        <v>В наличии 4659</v>
      </c>
      <c r="D53" s="1">
        <f ca="1">IFERROR(__xludf.dummyfunction("""COMPUTED_VALUE"""),622)</f>
        <v>622</v>
      </c>
    </row>
    <row r="54" spans="1:4" ht="28.5">
      <c r="A54" s="1">
        <v>711595</v>
      </c>
      <c r="B54" s="10" t="str">
        <f ca="1">IFERROR(__xludf.dummyfunction("""COMPUTED_VALUE"""),"Этикет-лента ""Цена"" (123585)")</f>
        <v>Этикет-лента "Цена" (123585)</v>
      </c>
      <c r="C54" s="1" t="str">
        <f ca="1">IFERROR(__xludf.dummyfunction("""COMPUTED_VALUE"""),"В наличии 1159")</f>
        <v>В наличии 1159</v>
      </c>
      <c r="D54" s="1">
        <f ca="1">IFERROR(__xludf.dummyfunction("""COMPUTED_VALUE"""),686)</f>
        <v>686</v>
      </c>
    </row>
    <row r="55" spans="1:4" ht="28.5">
      <c r="A55" s="1">
        <v>712100</v>
      </c>
      <c r="B55" s="10" t="str">
        <f ca="1">IFERROR(__xludf.dummyfunction("""COMPUTED_VALUE"""),"Этикет-лента ""Цена"" (123586)")</f>
        <v>Этикет-лента "Цена" (123586)</v>
      </c>
      <c r="C55" s="1" t="str">
        <f ca="1">IFERROR(__xludf.dummyfunction("""COMPUTED_VALUE"""),"В наличии 2608")</f>
        <v>В наличии 2608</v>
      </c>
      <c r="D55" s="1">
        <f ca="1">IFERROR(__xludf.dummyfunction("""COMPUTED_VALUE"""),706)</f>
        <v>706</v>
      </c>
    </row>
    <row r="56" spans="1:4" ht="28.5">
      <c r="A56" s="1">
        <v>714075</v>
      </c>
      <c r="B56" s="10" t="str">
        <f ca="1">IFERROR(__xludf.dummyfunction("""COMPUTED_VALUE"""),"Этикет-лента ""Цена"" (123587)")</f>
        <v>Этикет-лента "Цена" (123587)</v>
      </c>
      <c r="C56" s="1" t="str">
        <f ca="1">IFERROR(__xludf.dummyfunction("""COMPUTED_VALUE"""),"В наличии 5202")</f>
        <v>В наличии 5202</v>
      </c>
      <c r="D56" s="1">
        <f ca="1">IFERROR(__xludf.dummyfunction("""COMPUTED_VALUE"""),746)</f>
        <v>746</v>
      </c>
    </row>
    <row r="57" spans="1:4" ht="28.5">
      <c r="A57" s="1">
        <v>715514</v>
      </c>
      <c r="B57" s="10" t="str">
        <f ca="1">IFERROR(__xludf.dummyfunction("""COMPUTED_VALUE"""),"Этикет-лента ""Цена"" (123588)")</f>
        <v>Этикет-лента "Цена" (123588)</v>
      </c>
      <c r="C57" s="1" t="str">
        <f ca="1">IFERROR(__xludf.dummyfunction("""COMPUTED_VALUE"""),"В наличии 5666")</f>
        <v>В наличии 5666</v>
      </c>
      <c r="D57" s="1">
        <f ca="1">IFERROR(__xludf.dummyfunction("""COMPUTED_VALUE"""),370)</f>
        <v>370</v>
      </c>
    </row>
    <row r="58" spans="1:4" ht="28.5">
      <c r="A58" s="1">
        <v>718434</v>
      </c>
      <c r="B58" s="10" t="str">
        <f ca="1">IFERROR(__xludf.dummyfunction("""COMPUTED_VALUE"""),"Этикет-лента ""Цена"" (123589)")</f>
        <v>Этикет-лента "Цена" (123589)</v>
      </c>
      <c r="C58" s="1" t="str">
        <f ca="1">IFERROR(__xludf.dummyfunction("""COMPUTED_VALUE"""),"В наличии 2789")</f>
        <v>В наличии 2789</v>
      </c>
      <c r="D58" s="1">
        <f ca="1">IFERROR(__xludf.dummyfunction("""COMPUTED_VALUE"""),560)</f>
        <v>560</v>
      </c>
    </row>
    <row r="59" spans="1:4" ht="28.5">
      <c r="A59" s="1">
        <v>719124</v>
      </c>
      <c r="B59" s="10" t="str">
        <f ca="1">IFERROR(__xludf.dummyfunction("""COMPUTED_VALUE"""),"Этикет-лента ""Цена"" (123591)")</f>
        <v>Этикет-лента "Цена" (123591)</v>
      </c>
      <c r="C59" s="1" t="str">
        <f ca="1">IFERROR(__xludf.dummyfunction("""COMPUTED_VALUE"""),"В наличии 3593")</f>
        <v>В наличии 3593</v>
      </c>
      <c r="D59" s="1">
        <f ca="1">IFERROR(__xludf.dummyfunction("""COMPUTED_VALUE"""),1080)</f>
        <v>1080</v>
      </c>
    </row>
    <row r="60" spans="1:4" ht="28.5">
      <c r="A60" s="1">
        <v>719488</v>
      </c>
      <c r="B60" s="10" t="str">
        <f ca="1">IFERROR(__xludf.dummyfunction("""COMPUTED_VALUE"""),"Этикет-лента 21х12 мм (123570)")</f>
        <v>Этикет-лента 21х12 мм (123570)</v>
      </c>
      <c r="C60" s="1" t="str">
        <f ca="1">IFERROR(__xludf.dummyfunction("""COMPUTED_VALUE"""),"В наличии 3491")</f>
        <v>В наличии 3491</v>
      </c>
      <c r="D60" s="1">
        <f ca="1">IFERROR(__xludf.dummyfunction("""COMPUTED_VALUE"""),780)</f>
        <v>780</v>
      </c>
    </row>
    <row r="61" spans="1:4" ht="28.5">
      <c r="A61" s="1">
        <v>720000</v>
      </c>
      <c r="B61" s="10" t="str">
        <f ca="1">IFERROR(__xludf.dummyfunction("""COMPUTED_VALUE"""),"Этикет-лента 21х12 мм (123571)")</f>
        <v>Этикет-лента 21х12 мм (123571)</v>
      </c>
      <c r="C61" s="1" t="str">
        <f ca="1">IFERROR(__xludf.dummyfunction("""COMPUTED_VALUE"""),"В наличии 7375")</f>
        <v>В наличии 7375</v>
      </c>
      <c r="D61" s="1">
        <f ca="1">IFERROR(__xludf.dummyfunction("""COMPUTED_VALUE"""),980)</f>
        <v>980</v>
      </c>
    </row>
    <row r="62" spans="1:4" ht="85.5">
      <c r="A62" s="1">
        <v>720836</v>
      </c>
      <c r="B62" s="10" t="str">
        <f ca="1">IFERROR(__xludf.dummyfunction("""COMPUTED_VALUE"""),"Этикет-лента 21х12 мм, прямоугольная, желтая, комплект 5 рулонов по 600 
шт., BRAUBERG (123569)")</f>
        <v>Этикет-лента 21х12 мм, прямоугольная, желтая, комплект 5 рулонов по 600 
шт., BRAUBERG (123569)</v>
      </c>
      <c r="C62" s="1" t="str">
        <f ca="1">IFERROR(__xludf.dummyfunction("""COMPUTED_VALUE"""),"В наличии 6131")</f>
        <v>В наличии 6131</v>
      </c>
      <c r="D62" s="1">
        <f ca="1">IFERROR(__xludf.dummyfunction("""COMPUTED_VALUE"""),920)</f>
        <v>920</v>
      </c>
    </row>
    <row r="63" spans="1:4" ht="28.5">
      <c r="A63" s="1">
        <v>721670</v>
      </c>
      <c r="B63" s="10" t="str">
        <f ca="1">IFERROR(__xludf.dummyfunction("""COMPUTED_VALUE"""),"Этикет-лента 26х12 мм (123577)")</f>
        <v>Этикет-лента 26х12 мм (123577)</v>
      </c>
      <c r="C63" s="1" t="str">
        <f ca="1">IFERROR(__xludf.dummyfunction("""COMPUTED_VALUE"""),"В наличии 1176")</f>
        <v>В наличии 1176</v>
      </c>
      <c r="D63" s="1">
        <f ca="1">IFERROR(__xludf.dummyfunction("""COMPUTED_VALUE"""),840)</f>
        <v>840</v>
      </c>
    </row>
    <row r="64" spans="1:4" ht="28.5">
      <c r="A64" s="1">
        <v>723150</v>
      </c>
      <c r="B64" s="10" t="str">
        <f ca="1">IFERROR(__xludf.dummyfunction("""COMPUTED_VALUE"""),"Этикет-лента 26х12 мм (123578)")</f>
        <v>Этикет-лента 26х12 мм (123578)</v>
      </c>
      <c r="C64" s="1" t="str">
        <f ca="1">IFERROR(__xludf.dummyfunction("""COMPUTED_VALUE"""),"В наличии 479")</f>
        <v>В наличии 479</v>
      </c>
      <c r="D64" s="1">
        <f ca="1">IFERROR(__xludf.dummyfunction("""COMPUTED_VALUE"""),860)</f>
        <v>860</v>
      </c>
    </row>
    <row r="65" spans="1:4" ht="28.5">
      <c r="A65" s="1">
        <v>724951</v>
      </c>
      <c r="B65" s="10" t="str">
        <f ca="1">IFERROR(__xludf.dummyfunction("""COMPUTED_VALUE"""),"Этикет-лента 26х12 мм (123579)")</f>
        <v>Этикет-лента 26х12 мм (123579)</v>
      </c>
      <c r="C65" s="1" t="str">
        <f ca="1">IFERROR(__xludf.dummyfunction("""COMPUTED_VALUE"""),"В наличии 4314")</f>
        <v>В наличии 4314</v>
      </c>
      <c r="D65" s="1">
        <f ca="1">IFERROR(__xludf.dummyfunction("""COMPUTED_VALUE"""),840)</f>
        <v>840</v>
      </c>
    </row>
    <row r="66" spans="1:4" ht="28.5">
      <c r="A66" s="1">
        <v>725948</v>
      </c>
      <c r="B66" s="10" t="str">
        <f ca="1">IFERROR(__xludf.dummyfunction("""COMPUTED_VALUE"""),"Этикет-лента 26х16 мм (123580)")</f>
        <v>Этикет-лента 26х16 мм (123580)</v>
      </c>
      <c r="C66" s="1" t="str">
        <f ca="1">IFERROR(__xludf.dummyfunction("""COMPUTED_VALUE"""),"В наличии 12569")</f>
        <v>В наличии 12569</v>
      </c>
      <c r="D66" s="1">
        <f ca="1">IFERROR(__xludf.dummyfunction("""COMPUTED_VALUE"""),800)</f>
        <v>800</v>
      </c>
    </row>
    <row r="67" spans="1:4" ht="28.5">
      <c r="A67" s="1">
        <v>729313</v>
      </c>
      <c r="B67" s="10" t="str">
        <f ca="1">IFERROR(__xludf.dummyfunction("""COMPUTED_VALUE"""),"Этикет-лента 26х16 мм (123581)")</f>
        <v>Этикет-лента 26х16 мм (123581)</v>
      </c>
      <c r="C67" s="1" t="str">
        <f ca="1">IFERROR(__xludf.dummyfunction("""COMPUTED_VALUE"""),"В наличии 956")</f>
        <v>В наличии 956</v>
      </c>
      <c r="D67" s="1">
        <f ca="1">IFERROR(__xludf.dummyfunction("""COMPUTED_VALUE"""),880)</f>
        <v>880</v>
      </c>
    </row>
    <row r="68" spans="1:4" ht="28.5">
      <c r="A68" s="1">
        <v>730342</v>
      </c>
      <c r="B68" s="10" t="str">
        <f ca="1">IFERROR(__xludf.dummyfunction("""COMPUTED_VALUE"""),"Этикет-лента 26х16 мм (123582)")</f>
        <v>Этикет-лента 26х16 мм (123582)</v>
      </c>
      <c r="C68" s="1" t="str">
        <f ca="1">IFERROR(__xludf.dummyfunction("""COMPUTED_VALUE"""),"В наличии 413")</f>
        <v>В наличии 413</v>
      </c>
      <c r="D68" s="1">
        <f ca="1">IFERROR(__xludf.dummyfunction("""COMPUTED_VALUE"""),1260)</f>
        <v>1260</v>
      </c>
    </row>
    <row r="69" spans="1:4" ht="28.5">
      <c r="A69" s="1">
        <v>730468</v>
      </c>
      <c r="B69" s="10" t="str">
        <f ca="1">IFERROR(__xludf.dummyfunction("""COMPUTED_VALUE"""),"Этикет-лента 26х16 мм (123583)")</f>
        <v>Этикет-лента 26х16 мм (123583)</v>
      </c>
      <c r="C69" s="1" t="str">
        <f ca="1">IFERROR(__xludf.dummyfunction("""COMPUTED_VALUE"""),"В наличии 1035")</f>
        <v>В наличии 1035</v>
      </c>
      <c r="D69" s="1">
        <f ca="1">IFERROR(__xludf.dummyfunction("""COMPUTED_VALUE"""),1760)</f>
        <v>1760</v>
      </c>
    </row>
    <row r="70" spans="1:4" ht="85.5">
      <c r="A70" s="1">
        <v>731205</v>
      </c>
      <c r="B70" s="10" t="str">
        <f ca="1">IFERROR(__xludf.dummyfunction("""COMPUTED_VALUE"""),"Этикет-лента 26х16 мм прямоугольная, белая, КОМПЛЕКТ 5 рулонов по 800 
штук., BRAUBERG, 114208")</f>
        <v>Этикет-лента 26х16 мм прямоугольная, белая, КОМПЛЕКТ 5 рулонов по 800 
штук., BRAUBERG, 114208</v>
      </c>
      <c r="C70" s="1" t="str">
        <f ca="1">IFERROR(__xludf.dummyfunction("""COMPUTED_VALUE"""),"В наличии 8012")</f>
        <v>В наличии 8012</v>
      </c>
      <c r="D70" s="1">
        <f ca="1">IFERROR(__xludf.dummyfunction("""COMPUTED_VALUE"""),660)</f>
        <v>660</v>
      </c>
    </row>
    <row r="71" spans="1:4" ht="28.5">
      <c r="A71" s="1">
        <v>731250</v>
      </c>
      <c r="B71" s="10" t="str">
        <f ca="1">IFERROR(__xludf.dummyfunction("""COMPUTED_VALUE"""),"Этикет-пистолет (290343)")</f>
        <v>Этикет-пистолет (290343)</v>
      </c>
      <c r="C71" s="1" t="str">
        <f ca="1">IFERROR(__xludf.dummyfunction("""COMPUTED_VALUE"""),"В наличии 13")</f>
        <v>В наличии 13</v>
      </c>
      <c r="D71" s="1">
        <f ca="1">IFERROR(__xludf.dummyfunction("""COMPUTED_VALUE"""),740)</f>
        <v>740</v>
      </c>
    </row>
    <row r="72" spans="1:4" ht="28.5">
      <c r="A72" s="1">
        <v>733570</v>
      </c>
      <c r="B72" s="10" t="str">
        <f ca="1">IFERROR(__xludf.dummyfunction("""COMPUTED_VALUE"""),"Этикет-пистолет 1-строчный (290344)")</f>
        <v>Этикет-пистолет 1-строчный (290344)</v>
      </c>
      <c r="C72" s="1" t="str">
        <f ca="1">IFERROR(__xludf.dummyfunction("""COMPUTED_VALUE"""),"В наличии 39")</f>
        <v>В наличии 39</v>
      </c>
      <c r="D72" s="1">
        <f ca="1">IFERROR(__xludf.dummyfunction("""COMPUTED_VALUE"""),860)</f>
        <v>860</v>
      </c>
    </row>
    <row r="73" spans="1:4" ht="42.75">
      <c r="A73" s="1">
        <v>737433</v>
      </c>
      <c r="B73" s="10" t="str">
        <f ca="1">IFERROR(__xludf.dummyfunction("""COMPUTED_VALUE"""),"Этикет-пистолет 1-строчный (цифры (290435)")</f>
        <v>Этикет-пистолет 1-строчный (цифры (290435)</v>
      </c>
      <c r="C73" s="1" t="str">
        <f ca="1">IFERROR(__xludf.dummyfunction("""COMPUTED_VALUE"""),"В наличии 4187")</f>
        <v>В наличии 4187</v>
      </c>
      <c r="D73" s="1">
        <f ca="1">IFERROR(__xludf.dummyfunction("""COMPUTED_VALUE"""),900)</f>
        <v>900</v>
      </c>
    </row>
    <row r="74" spans="1:4">
      <c r="B74" s="10"/>
    </row>
    <row r="75" spans="1:4">
      <c r="B75" s="10"/>
    </row>
    <row r="76" spans="1:4">
      <c r="B76" s="10"/>
    </row>
    <row r="77" spans="1:4">
      <c r="B77" s="10"/>
    </row>
    <row r="78" spans="1:4">
      <c r="B78" s="10"/>
    </row>
    <row r="79" spans="1:4">
      <c r="B79" s="10"/>
    </row>
    <row r="80" spans="1:4">
      <c r="B80" s="10"/>
    </row>
    <row r="81" spans="2:2">
      <c r="B81" s="10"/>
    </row>
    <row r="82" spans="2:2">
      <c r="B82" s="10"/>
    </row>
    <row r="83" spans="2:2">
      <c r="B83" s="10"/>
    </row>
    <row r="84" spans="2:2">
      <c r="B84" s="10"/>
    </row>
    <row r="85" spans="2:2">
      <c r="B85" s="10"/>
    </row>
    <row r="86" spans="2:2">
      <c r="B86" s="10"/>
    </row>
    <row r="87" spans="2:2">
      <c r="B87" s="10"/>
    </row>
    <row r="88" spans="2:2">
      <c r="B88" s="10"/>
    </row>
    <row r="89" spans="2:2">
      <c r="B89" s="10"/>
    </row>
    <row r="90" spans="2:2">
      <c r="B90" s="10"/>
    </row>
    <row r="91" spans="2:2">
      <c r="B91" s="10"/>
    </row>
    <row r="92" spans="2:2">
      <c r="B92" s="10"/>
    </row>
    <row r="93" spans="2:2">
      <c r="B93" s="10"/>
    </row>
    <row r="94" spans="2:2">
      <c r="B94" s="10"/>
    </row>
    <row r="95" spans="2:2">
      <c r="B95" s="10"/>
    </row>
    <row r="96" spans="2:2">
      <c r="B96" s="10"/>
    </row>
    <row r="97" spans="2:2">
      <c r="B97" s="10"/>
    </row>
    <row r="98" spans="2:2">
      <c r="B98" s="10"/>
    </row>
    <row r="99" spans="2:2">
      <c r="B99" s="10"/>
    </row>
    <row r="100" spans="2:2">
      <c r="B100" s="10"/>
    </row>
    <row r="101" spans="2:2">
      <c r="B101" s="10"/>
    </row>
    <row r="102" spans="2:2">
      <c r="B102" s="10"/>
    </row>
    <row r="103" spans="2:2">
      <c r="B103" s="10"/>
    </row>
    <row r="104" spans="2:2">
      <c r="B104" s="10"/>
    </row>
    <row r="105" spans="2:2">
      <c r="B105" s="10"/>
    </row>
    <row r="106" spans="2:2">
      <c r="B106" s="10"/>
    </row>
    <row r="107" spans="2:2">
      <c r="B107" s="10"/>
    </row>
    <row r="108" spans="2:2">
      <c r="B108" s="10"/>
    </row>
    <row r="109" spans="2:2">
      <c r="B109" s="10"/>
    </row>
    <row r="110" spans="2:2">
      <c r="B110" s="10"/>
    </row>
    <row r="111" spans="2:2">
      <c r="B111" s="10"/>
    </row>
    <row r="112" spans="2:2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  <row r="153" spans="2:2">
      <c r="B153" s="10"/>
    </row>
    <row r="154" spans="2:2">
      <c r="B154" s="10"/>
    </row>
    <row r="155" spans="2:2">
      <c r="B155" s="10"/>
    </row>
    <row r="156" spans="2:2">
      <c r="B156" s="10"/>
    </row>
    <row r="157" spans="2:2">
      <c r="B157" s="10"/>
    </row>
    <row r="158" spans="2:2">
      <c r="B158" s="10"/>
    </row>
    <row r="159" spans="2:2">
      <c r="B159" s="10"/>
    </row>
    <row r="160" spans="2:2">
      <c r="B160" s="10"/>
    </row>
    <row r="161" spans="2:2">
      <c r="B161" s="10"/>
    </row>
    <row r="162" spans="2:2">
      <c r="B162" s="10"/>
    </row>
    <row r="163" spans="2:2">
      <c r="B163" s="10"/>
    </row>
    <row r="164" spans="2:2">
      <c r="B164" s="10"/>
    </row>
    <row r="165" spans="2:2">
      <c r="B165" s="10"/>
    </row>
    <row r="166" spans="2:2">
      <c r="B166" s="10"/>
    </row>
    <row r="167" spans="2:2">
      <c r="B167" s="10"/>
    </row>
    <row r="168" spans="2:2">
      <c r="B168" s="10"/>
    </row>
    <row r="169" spans="2:2">
      <c r="B169" s="10"/>
    </row>
    <row r="170" spans="2:2">
      <c r="B170" s="10"/>
    </row>
    <row r="171" spans="2:2">
      <c r="B171" s="10"/>
    </row>
    <row r="172" spans="2:2">
      <c r="B172" s="10"/>
    </row>
    <row r="173" spans="2:2">
      <c r="B173" s="10"/>
    </row>
    <row r="174" spans="2:2">
      <c r="B174" s="10"/>
    </row>
    <row r="175" spans="2:2">
      <c r="B175" s="10"/>
    </row>
    <row r="176" spans="2:2">
      <c r="B176" s="10"/>
    </row>
    <row r="177" spans="2:2">
      <c r="B177" s="10"/>
    </row>
    <row r="178" spans="2:2">
      <c r="B178" s="10"/>
    </row>
    <row r="179" spans="2:2">
      <c r="B179" s="10"/>
    </row>
    <row r="180" spans="2:2">
      <c r="B180" s="10"/>
    </row>
    <row r="181" spans="2:2">
      <c r="B181" s="10"/>
    </row>
    <row r="182" spans="2:2">
      <c r="B182" s="10"/>
    </row>
    <row r="183" spans="2:2">
      <c r="B183" s="10"/>
    </row>
    <row r="184" spans="2:2">
      <c r="B184" s="10"/>
    </row>
    <row r="185" spans="2:2">
      <c r="B185" s="10"/>
    </row>
    <row r="186" spans="2:2">
      <c r="B186" s="10"/>
    </row>
    <row r="187" spans="2:2">
      <c r="B187" s="10"/>
    </row>
    <row r="188" spans="2:2">
      <c r="B188" s="10"/>
    </row>
    <row r="189" spans="2:2">
      <c r="B189" s="10"/>
    </row>
    <row r="190" spans="2:2">
      <c r="B190" s="10"/>
    </row>
    <row r="191" spans="2:2">
      <c r="B191" s="10"/>
    </row>
    <row r="192" spans="2:2">
      <c r="B192" s="10"/>
    </row>
    <row r="193" spans="2:2">
      <c r="B193" s="10"/>
    </row>
    <row r="194" spans="2:2">
      <c r="B194" s="10"/>
    </row>
    <row r="195" spans="2:2">
      <c r="B195" s="10"/>
    </row>
    <row r="196" spans="2:2">
      <c r="B196" s="10"/>
    </row>
    <row r="197" spans="2:2">
      <c r="B197" s="10"/>
    </row>
    <row r="198" spans="2:2">
      <c r="B198" s="10"/>
    </row>
    <row r="199" spans="2:2">
      <c r="B199" s="10"/>
    </row>
    <row r="200" spans="2:2">
      <c r="B200" s="10"/>
    </row>
    <row r="201" spans="2:2">
      <c r="B201" s="10"/>
    </row>
    <row r="202" spans="2:2">
      <c r="B202" s="10"/>
    </row>
    <row r="203" spans="2:2">
      <c r="B203" s="10"/>
    </row>
    <row r="204" spans="2:2">
      <c r="B204" s="10"/>
    </row>
    <row r="205" spans="2:2">
      <c r="B205" s="10"/>
    </row>
    <row r="206" spans="2:2">
      <c r="B206" s="10"/>
    </row>
    <row r="207" spans="2:2">
      <c r="B207" s="10"/>
    </row>
    <row r="208" spans="2:2">
      <c r="B208" s="10"/>
    </row>
    <row r="209" spans="2:2">
      <c r="B209" s="10"/>
    </row>
    <row r="210" spans="2:2">
      <c r="B210" s="10"/>
    </row>
    <row r="211" spans="2:2">
      <c r="B211" s="10"/>
    </row>
    <row r="212" spans="2:2">
      <c r="B212" s="10"/>
    </row>
    <row r="213" spans="2:2">
      <c r="B213" s="10"/>
    </row>
    <row r="214" spans="2:2">
      <c r="B214" s="10"/>
    </row>
    <row r="215" spans="2:2">
      <c r="B215" s="10"/>
    </row>
    <row r="216" spans="2:2">
      <c r="B216" s="10"/>
    </row>
    <row r="217" spans="2:2">
      <c r="B217" s="10"/>
    </row>
    <row r="218" spans="2:2">
      <c r="B218" s="10"/>
    </row>
    <row r="219" spans="2:2">
      <c r="B219" s="10"/>
    </row>
    <row r="220" spans="2:2">
      <c r="B220" s="10"/>
    </row>
    <row r="221" spans="2:2">
      <c r="B221" s="10"/>
    </row>
    <row r="222" spans="2:2">
      <c r="B222" s="10"/>
    </row>
    <row r="223" spans="2:2">
      <c r="B223" s="10"/>
    </row>
    <row r="224" spans="2:2">
      <c r="B224" s="10"/>
    </row>
    <row r="225" spans="2:2">
      <c r="B225" s="10"/>
    </row>
    <row r="226" spans="2:2">
      <c r="B226" s="10"/>
    </row>
    <row r="227" spans="2:2">
      <c r="B227" s="10"/>
    </row>
    <row r="228" spans="2:2">
      <c r="B228" s="10"/>
    </row>
    <row r="229" spans="2:2">
      <c r="B229" s="10"/>
    </row>
    <row r="230" spans="2:2">
      <c r="B230" s="10"/>
    </row>
    <row r="231" spans="2:2">
      <c r="B231" s="10"/>
    </row>
    <row r="232" spans="2:2">
      <c r="B232" s="10"/>
    </row>
    <row r="233" spans="2:2">
      <c r="B233" s="10"/>
    </row>
    <row r="234" spans="2:2">
      <c r="B234" s="10"/>
    </row>
    <row r="235" spans="2:2">
      <c r="B235" s="10"/>
    </row>
    <row r="236" spans="2:2">
      <c r="B236" s="10"/>
    </row>
    <row r="237" spans="2:2">
      <c r="B237" s="10"/>
    </row>
    <row r="238" spans="2:2">
      <c r="B238" s="10"/>
    </row>
    <row r="239" spans="2:2">
      <c r="B239" s="10"/>
    </row>
    <row r="240" spans="2:2">
      <c r="B240" s="10"/>
    </row>
    <row r="241" spans="2:2">
      <c r="B241" s="10"/>
    </row>
    <row r="242" spans="2:2">
      <c r="B242" s="10"/>
    </row>
    <row r="243" spans="2:2">
      <c r="B243" s="10"/>
    </row>
    <row r="244" spans="2:2">
      <c r="B244" s="10"/>
    </row>
    <row r="245" spans="2:2">
      <c r="B245" s="10"/>
    </row>
    <row r="246" spans="2:2">
      <c r="B246" s="10"/>
    </row>
    <row r="247" spans="2:2">
      <c r="B247" s="10"/>
    </row>
    <row r="248" spans="2:2">
      <c r="B248" s="10"/>
    </row>
    <row r="249" spans="2:2">
      <c r="B249" s="10"/>
    </row>
    <row r="250" spans="2:2">
      <c r="B250" s="10"/>
    </row>
    <row r="251" spans="2:2">
      <c r="B251" s="10"/>
    </row>
    <row r="252" spans="2:2">
      <c r="B252" s="10"/>
    </row>
    <row r="253" spans="2:2">
      <c r="B253" s="10"/>
    </row>
    <row r="254" spans="2:2">
      <c r="B254" s="10"/>
    </row>
    <row r="255" spans="2:2">
      <c r="B255" s="10"/>
    </row>
    <row r="256" spans="2:2">
      <c r="B256" s="10"/>
    </row>
    <row r="257" spans="2:2">
      <c r="B257" s="10"/>
    </row>
    <row r="258" spans="2:2">
      <c r="B258" s="10"/>
    </row>
    <row r="259" spans="2:2">
      <c r="B259" s="10"/>
    </row>
    <row r="260" spans="2:2">
      <c r="B260" s="10"/>
    </row>
    <row r="261" spans="2:2">
      <c r="B261" s="10"/>
    </row>
    <row r="262" spans="2:2">
      <c r="B262" s="10"/>
    </row>
    <row r="263" spans="2:2">
      <c r="B263" s="10"/>
    </row>
    <row r="264" spans="2:2">
      <c r="B264" s="10"/>
    </row>
    <row r="265" spans="2:2">
      <c r="B265" s="10"/>
    </row>
    <row r="266" spans="2:2">
      <c r="B266" s="10"/>
    </row>
    <row r="267" spans="2:2">
      <c r="B267" s="10"/>
    </row>
    <row r="268" spans="2:2">
      <c r="B268" s="10"/>
    </row>
    <row r="269" spans="2:2">
      <c r="B269" s="10"/>
    </row>
    <row r="270" spans="2:2">
      <c r="B270" s="10"/>
    </row>
    <row r="271" spans="2:2">
      <c r="B271" s="10"/>
    </row>
    <row r="272" spans="2:2">
      <c r="B272" s="10"/>
    </row>
    <row r="273" spans="2:2">
      <c r="B273" s="10"/>
    </row>
    <row r="274" spans="2:2">
      <c r="B274" s="10"/>
    </row>
    <row r="275" spans="2:2">
      <c r="B275" s="10"/>
    </row>
    <row r="276" spans="2:2">
      <c r="B276" s="10"/>
    </row>
    <row r="277" spans="2:2">
      <c r="B277" s="10"/>
    </row>
    <row r="278" spans="2:2">
      <c r="B278" s="10"/>
    </row>
    <row r="279" spans="2:2">
      <c r="B279" s="10"/>
    </row>
    <row r="280" spans="2:2">
      <c r="B280" s="10"/>
    </row>
    <row r="281" spans="2:2">
      <c r="B281" s="10"/>
    </row>
    <row r="282" spans="2:2">
      <c r="B282" s="10"/>
    </row>
    <row r="283" spans="2:2">
      <c r="B283" s="10"/>
    </row>
    <row r="284" spans="2:2">
      <c r="B284" s="10"/>
    </row>
    <row r="285" spans="2:2">
      <c r="B285" s="10"/>
    </row>
    <row r="286" spans="2:2">
      <c r="B286" s="10"/>
    </row>
    <row r="287" spans="2:2">
      <c r="B287" s="10"/>
    </row>
    <row r="288" spans="2:2">
      <c r="B288" s="10"/>
    </row>
    <row r="289" spans="2:2">
      <c r="B289" s="10"/>
    </row>
    <row r="290" spans="2:2">
      <c r="B290" s="10"/>
    </row>
    <row r="291" spans="2:2">
      <c r="B291" s="10"/>
    </row>
    <row r="292" spans="2:2">
      <c r="B292" s="10"/>
    </row>
    <row r="293" spans="2:2">
      <c r="B293" s="10"/>
    </row>
    <row r="294" spans="2:2">
      <c r="B294" s="10"/>
    </row>
    <row r="295" spans="2:2">
      <c r="B295" s="10"/>
    </row>
    <row r="296" spans="2:2">
      <c r="B296" s="10"/>
    </row>
    <row r="297" spans="2:2">
      <c r="B297" s="10"/>
    </row>
    <row r="298" spans="2:2">
      <c r="B298" s="10"/>
    </row>
    <row r="299" spans="2:2">
      <c r="B299" s="10"/>
    </row>
    <row r="300" spans="2:2">
      <c r="B300" s="10"/>
    </row>
    <row r="301" spans="2:2">
      <c r="B301" s="10"/>
    </row>
    <row r="302" spans="2:2">
      <c r="B302" s="10"/>
    </row>
    <row r="303" spans="2:2">
      <c r="B303" s="10"/>
    </row>
    <row r="304" spans="2:2">
      <c r="B304" s="10"/>
    </row>
    <row r="305" spans="2:2">
      <c r="B305" s="10"/>
    </row>
    <row r="306" spans="2:2">
      <c r="B306" s="10"/>
    </row>
    <row r="307" spans="2:2">
      <c r="B307" s="10"/>
    </row>
    <row r="308" spans="2:2">
      <c r="B308" s="10"/>
    </row>
    <row r="309" spans="2:2">
      <c r="B309" s="10"/>
    </row>
    <row r="310" spans="2:2">
      <c r="B310" s="10"/>
    </row>
    <row r="311" spans="2:2">
      <c r="B311" s="10"/>
    </row>
    <row r="312" spans="2:2">
      <c r="B312" s="10"/>
    </row>
    <row r="313" spans="2:2">
      <c r="B313" s="10"/>
    </row>
    <row r="314" spans="2:2">
      <c r="B314" s="10"/>
    </row>
    <row r="315" spans="2:2">
      <c r="B315" s="10"/>
    </row>
    <row r="316" spans="2:2">
      <c r="B316" s="10"/>
    </row>
    <row r="317" spans="2:2">
      <c r="B317" s="10"/>
    </row>
    <row r="318" spans="2:2">
      <c r="B318" s="10"/>
    </row>
    <row r="319" spans="2:2">
      <c r="B319" s="10"/>
    </row>
    <row r="320" spans="2:2">
      <c r="B320" s="10"/>
    </row>
    <row r="321" spans="2:2">
      <c r="B321" s="10"/>
    </row>
    <row r="322" spans="2:2">
      <c r="B322" s="10"/>
    </row>
    <row r="323" spans="2:2">
      <c r="B323" s="10"/>
    </row>
    <row r="324" spans="2:2">
      <c r="B324" s="10"/>
    </row>
    <row r="325" spans="2:2">
      <c r="B325" s="10"/>
    </row>
    <row r="326" spans="2:2">
      <c r="B326" s="10"/>
    </row>
    <row r="327" spans="2:2">
      <c r="B327" s="10"/>
    </row>
    <row r="328" spans="2:2">
      <c r="B328" s="10"/>
    </row>
    <row r="329" spans="2:2">
      <c r="B329" s="10"/>
    </row>
    <row r="330" spans="2:2">
      <c r="B330" s="10"/>
    </row>
    <row r="331" spans="2:2">
      <c r="B331" s="10"/>
    </row>
    <row r="332" spans="2:2">
      <c r="B332" s="10"/>
    </row>
    <row r="333" spans="2:2">
      <c r="B333" s="10"/>
    </row>
    <row r="334" spans="2:2">
      <c r="B334" s="10"/>
    </row>
    <row r="335" spans="2:2">
      <c r="B335" s="10"/>
    </row>
    <row r="336" spans="2:2">
      <c r="B336" s="10"/>
    </row>
    <row r="337" spans="2:2">
      <c r="B337" s="10"/>
    </row>
    <row r="338" spans="2:2">
      <c r="B338" s="10"/>
    </row>
    <row r="339" spans="2:2">
      <c r="B339" s="10"/>
    </row>
    <row r="340" spans="2:2">
      <c r="B340" s="10"/>
    </row>
    <row r="341" spans="2:2">
      <c r="B341" s="10"/>
    </row>
    <row r="342" spans="2:2">
      <c r="B342" s="10"/>
    </row>
    <row r="343" spans="2:2">
      <c r="B343" s="10"/>
    </row>
    <row r="344" spans="2:2">
      <c r="B344" s="10"/>
    </row>
    <row r="345" spans="2:2">
      <c r="B345" s="10"/>
    </row>
    <row r="346" spans="2:2">
      <c r="B346" s="10"/>
    </row>
    <row r="347" spans="2:2">
      <c r="B347" s="10"/>
    </row>
    <row r="348" spans="2:2">
      <c r="B348" s="10"/>
    </row>
    <row r="349" spans="2:2">
      <c r="B349" s="10"/>
    </row>
    <row r="350" spans="2:2">
      <c r="B350" s="10"/>
    </row>
    <row r="351" spans="2:2">
      <c r="B351" s="10"/>
    </row>
    <row r="352" spans="2:2">
      <c r="B352" s="10"/>
    </row>
    <row r="353" spans="2:2">
      <c r="B353" s="10"/>
    </row>
    <row r="354" spans="2:2">
      <c r="B354" s="10"/>
    </row>
    <row r="355" spans="2:2">
      <c r="B355" s="10"/>
    </row>
    <row r="356" spans="2:2">
      <c r="B356" s="10"/>
    </row>
    <row r="357" spans="2:2">
      <c r="B357" s="10"/>
    </row>
    <row r="358" spans="2:2">
      <c r="B358" s="10"/>
    </row>
    <row r="359" spans="2:2">
      <c r="B359" s="10"/>
    </row>
    <row r="360" spans="2:2">
      <c r="B360" s="10"/>
    </row>
    <row r="361" spans="2:2">
      <c r="B361" s="10"/>
    </row>
    <row r="362" spans="2:2">
      <c r="B362" s="10"/>
    </row>
    <row r="363" spans="2:2">
      <c r="B363" s="10"/>
    </row>
    <row r="364" spans="2:2">
      <c r="B364" s="10"/>
    </row>
    <row r="365" spans="2:2">
      <c r="B365" s="10"/>
    </row>
    <row r="366" spans="2:2">
      <c r="B366" s="10"/>
    </row>
    <row r="367" spans="2:2">
      <c r="B367" s="10"/>
    </row>
    <row r="368" spans="2:2">
      <c r="B368" s="10"/>
    </row>
    <row r="369" spans="2:2">
      <c r="B369" s="10"/>
    </row>
    <row r="370" spans="2:2">
      <c r="B370" s="10"/>
    </row>
    <row r="371" spans="2:2">
      <c r="B371" s="10"/>
    </row>
    <row r="372" spans="2:2">
      <c r="B372" s="10"/>
    </row>
    <row r="373" spans="2:2">
      <c r="B373" s="10"/>
    </row>
    <row r="374" spans="2:2">
      <c r="B374" s="10"/>
    </row>
    <row r="375" spans="2:2">
      <c r="B375" s="10"/>
    </row>
    <row r="376" spans="2:2">
      <c r="B376" s="10"/>
    </row>
    <row r="377" spans="2:2">
      <c r="B377" s="10"/>
    </row>
    <row r="378" spans="2:2">
      <c r="B378" s="10"/>
    </row>
    <row r="379" spans="2:2">
      <c r="B379" s="10"/>
    </row>
    <row r="380" spans="2:2">
      <c r="B380" s="10"/>
    </row>
    <row r="381" spans="2:2">
      <c r="B381" s="10"/>
    </row>
    <row r="382" spans="2:2">
      <c r="B382" s="10"/>
    </row>
    <row r="383" spans="2:2">
      <c r="B383" s="10"/>
    </row>
    <row r="384" spans="2:2">
      <c r="B384" s="10"/>
    </row>
    <row r="385" spans="2:2">
      <c r="B385" s="10"/>
    </row>
    <row r="386" spans="2:2">
      <c r="B386" s="10"/>
    </row>
    <row r="387" spans="2:2">
      <c r="B387" s="10"/>
    </row>
    <row r="388" spans="2:2">
      <c r="B388" s="10"/>
    </row>
    <row r="389" spans="2:2">
      <c r="B389" s="10"/>
    </row>
    <row r="390" spans="2:2">
      <c r="B390" s="10"/>
    </row>
    <row r="391" spans="2:2">
      <c r="B391" s="10"/>
    </row>
    <row r="392" spans="2:2">
      <c r="B392" s="10"/>
    </row>
    <row r="393" spans="2:2">
      <c r="B393" s="10"/>
    </row>
    <row r="394" spans="2:2">
      <c r="B394" s="10"/>
    </row>
    <row r="395" spans="2:2">
      <c r="B395" s="10"/>
    </row>
    <row r="396" spans="2:2">
      <c r="B396" s="10"/>
    </row>
    <row r="397" spans="2:2">
      <c r="B397" s="10"/>
    </row>
    <row r="398" spans="2:2">
      <c r="B398" s="10"/>
    </row>
    <row r="399" spans="2:2">
      <c r="B399" s="10"/>
    </row>
    <row r="400" spans="2:2">
      <c r="B400" s="10"/>
    </row>
    <row r="401" spans="2:2">
      <c r="B401" s="10"/>
    </row>
    <row r="402" spans="2:2">
      <c r="B402" s="10"/>
    </row>
    <row r="403" spans="2:2">
      <c r="B403" s="10"/>
    </row>
    <row r="404" spans="2:2">
      <c r="B404" s="10"/>
    </row>
    <row r="405" spans="2:2">
      <c r="B405" s="10"/>
    </row>
    <row r="406" spans="2:2">
      <c r="B406" s="10"/>
    </row>
    <row r="407" spans="2:2">
      <c r="B407" s="10"/>
    </row>
    <row r="408" spans="2:2">
      <c r="B408" s="10"/>
    </row>
    <row r="409" spans="2:2">
      <c r="B409" s="10"/>
    </row>
    <row r="410" spans="2:2">
      <c r="B410" s="10"/>
    </row>
    <row r="411" spans="2:2">
      <c r="B411" s="10"/>
    </row>
    <row r="412" spans="2:2">
      <c r="B412" s="10"/>
    </row>
    <row r="413" spans="2:2">
      <c r="B413" s="10"/>
    </row>
    <row r="414" spans="2:2">
      <c r="B414" s="10"/>
    </row>
    <row r="415" spans="2:2">
      <c r="B415" s="10"/>
    </row>
    <row r="416" spans="2:2">
      <c r="B416" s="10"/>
    </row>
    <row r="417" spans="2:2">
      <c r="B417" s="10"/>
    </row>
    <row r="418" spans="2:2">
      <c r="B418" s="10"/>
    </row>
    <row r="419" spans="2:2">
      <c r="B419" s="10"/>
    </row>
    <row r="420" spans="2:2">
      <c r="B420" s="10"/>
    </row>
    <row r="421" spans="2:2">
      <c r="B421" s="10"/>
    </row>
    <row r="422" spans="2:2">
      <c r="B422" s="10"/>
    </row>
    <row r="423" spans="2:2">
      <c r="B423" s="10"/>
    </row>
    <row r="424" spans="2:2">
      <c r="B424" s="10"/>
    </row>
    <row r="425" spans="2:2">
      <c r="B425" s="10"/>
    </row>
    <row r="426" spans="2:2">
      <c r="B426" s="10"/>
    </row>
    <row r="427" spans="2:2">
      <c r="B427" s="10"/>
    </row>
    <row r="428" spans="2:2">
      <c r="B428" s="10"/>
    </row>
    <row r="429" spans="2:2">
      <c r="B429" s="10"/>
    </row>
    <row r="430" spans="2:2">
      <c r="B430" s="10"/>
    </row>
    <row r="431" spans="2:2">
      <c r="B431" s="10"/>
    </row>
    <row r="432" spans="2:2">
      <c r="B432" s="10"/>
    </row>
    <row r="433" spans="2:2">
      <c r="B433" s="10"/>
    </row>
    <row r="434" spans="2:2">
      <c r="B434" s="10"/>
    </row>
    <row r="435" spans="2:2">
      <c r="B435" s="10"/>
    </row>
    <row r="436" spans="2:2">
      <c r="B436" s="10"/>
    </row>
    <row r="437" spans="2:2">
      <c r="B437" s="10"/>
    </row>
    <row r="438" spans="2:2">
      <c r="B438" s="10"/>
    </row>
    <row r="439" spans="2:2">
      <c r="B439" s="10"/>
    </row>
    <row r="440" spans="2:2">
      <c r="B440" s="10"/>
    </row>
    <row r="441" spans="2:2">
      <c r="B441" s="10"/>
    </row>
    <row r="442" spans="2:2">
      <c r="B442" s="10"/>
    </row>
    <row r="443" spans="2:2">
      <c r="B443" s="10"/>
    </row>
    <row r="444" spans="2:2">
      <c r="B444" s="10"/>
    </row>
    <row r="445" spans="2:2">
      <c r="B445" s="10"/>
    </row>
    <row r="446" spans="2:2">
      <c r="B446" s="10"/>
    </row>
    <row r="447" spans="2:2">
      <c r="B447" s="10"/>
    </row>
    <row r="448" spans="2:2">
      <c r="B448" s="10"/>
    </row>
    <row r="449" spans="2:2">
      <c r="B449" s="10"/>
    </row>
    <row r="450" spans="2:2">
      <c r="B450" s="10"/>
    </row>
    <row r="451" spans="2:2">
      <c r="B451" s="10"/>
    </row>
    <row r="452" spans="2:2">
      <c r="B452" s="10"/>
    </row>
    <row r="453" spans="2:2">
      <c r="B453" s="10"/>
    </row>
    <row r="454" spans="2:2">
      <c r="B454" s="10"/>
    </row>
    <row r="455" spans="2:2">
      <c r="B455" s="10"/>
    </row>
    <row r="456" spans="2:2">
      <c r="B456" s="10"/>
    </row>
    <row r="457" spans="2:2">
      <c r="B457" s="10"/>
    </row>
    <row r="458" spans="2:2">
      <c r="B458" s="10"/>
    </row>
    <row r="459" spans="2:2">
      <c r="B459" s="10"/>
    </row>
    <row r="460" spans="2:2">
      <c r="B460" s="10"/>
    </row>
    <row r="461" spans="2:2">
      <c r="B461" s="10"/>
    </row>
    <row r="462" spans="2:2">
      <c r="B462" s="10"/>
    </row>
    <row r="463" spans="2:2">
      <c r="B463" s="10"/>
    </row>
    <row r="464" spans="2:2">
      <c r="B464" s="10"/>
    </row>
    <row r="465" spans="2:2">
      <c r="B465" s="10"/>
    </row>
    <row r="466" spans="2:2">
      <c r="B466" s="10"/>
    </row>
    <row r="467" spans="2:2">
      <c r="B467" s="10"/>
    </row>
    <row r="468" spans="2:2">
      <c r="B468" s="10"/>
    </row>
    <row r="469" spans="2:2">
      <c r="B469" s="10"/>
    </row>
    <row r="470" spans="2:2">
      <c r="B470" s="10"/>
    </row>
    <row r="471" spans="2:2">
      <c r="B471" s="10"/>
    </row>
    <row r="472" spans="2:2">
      <c r="B472" s="10"/>
    </row>
    <row r="473" spans="2:2">
      <c r="B473" s="10"/>
    </row>
    <row r="474" spans="2:2">
      <c r="B474" s="10"/>
    </row>
    <row r="475" spans="2:2">
      <c r="B475" s="10"/>
    </row>
    <row r="476" spans="2:2">
      <c r="B476" s="10"/>
    </row>
    <row r="477" spans="2:2">
      <c r="B477" s="10"/>
    </row>
    <row r="478" spans="2:2">
      <c r="B478" s="10"/>
    </row>
    <row r="479" spans="2:2">
      <c r="B479" s="10"/>
    </row>
    <row r="480" spans="2:2">
      <c r="B480" s="10"/>
    </row>
    <row r="481" spans="2:2">
      <c r="B481" s="10"/>
    </row>
    <row r="482" spans="2:2">
      <c r="B482" s="10"/>
    </row>
    <row r="483" spans="2:2">
      <c r="B483" s="10"/>
    </row>
    <row r="484" spans="2:2">
      <c r="B484" s="10"/>
    </row>
    <row r="485" spans="2:2">
      <c r="B485" s="10"/>
    </row>
    <row r="486" spans="2:2">
      <c r="B486" s="10"/>
    </row>
    <row r="487" spans="2:2">
      <c r="B487" s="10"/>
    </row>
    <row r="488" spans="2:2">
      <c r="B488" s="10"/>
    </row>
    <row r="489" spans="2:2">
      <c r="B489" s="10"/>
    </row>
    <row r="490" spans="2:2">
      <c r="B490" s="10"/>
    </row>
    <row r="491" spans="2:2">
      <c r="B491" s="10"/>
    </row>
    <row r="492" spans="2:2">
      <c r="B492" s="10"/>
    </row>
    <row r="493" spans="2:2">
      <c r="B493" s="10"/>
    </row>
    <row r="494" spans="2:2">
      <c r="B494" s="10"/>
    </row>
    <row r="495" spans="2:2">
      <c r="B495" s="10"/>
    </row>
    <row r="496" spans="2:2">
      <c r="B496" s="10"/>
    </row>
    <row r="497" spans="2:2">
      <c r="B497" s="10"/>
    </row>
    <row r="498" spans="2:2">
      <c r="B498" s="10"/>
    </row>
    <row r="499" spans="2:2">
      <c r="B499" s="10"/>
    </row>
    <row r="500" spans="2:2">
      <c r="B500" s="10"/>
    </row>
    <row r="501" spans="2:2">
      <c r="B501" s="10"/>
    </row>
    <row r="502" spans="2:2">
      <c r="B502" s="10"/>
    </row>
    <row r="503" spans="2:2">
      <c r="B503" s="10"/>
    </row>
    <row r="504" spans="2:2">
      <c r="B504" s="10"/>
    </row>
    <row r="505" spans="2:2">
      <c r="B505" s="10"/>
    </row>
    <row r="506" spans="2:2">
      <c r="B506" s="10"/>
    </row>
    <row r="507" spans="2:2">
      <c r="B507" s="10"/>
    </row>
    <row r="508" spans="2:2">
      <c r="B508" s="10"/>
    </row>
    <row r="509" spans="2:2">
      <c r="B509" s="10"/>
    </row>
    <row r="510" spans="2:2">
      <c r="B510" s="10"/>
    </row>
    <row r="511" spans="2:2">
      <c r="B511" s="10"/>
    </row>
    <row r="512" spans="2:2">
      <c r="B512" s="10"/>
    </row>
    <row r="513" spans="2:2">
      <c r="B513" s="10"/>
    </row>
    <row r="514" spans="2:2">
      <c r="B514" s="10"/>
    </row>
    <row r="515" spans="2:2">
      <c r="B515" s="10"/>
    </row>
    <row r="516" spans="2:2">
      <c r="B516" s="10"/>
    </row>
    <row r="517" spans="2:2">
      <c r="B517" s="10"/>
    </row>
    <row r="518" spans="2:2">
      <c r="B518" s="10"/>
    </row>
    <row r="519" spans="2:2">
      <c r="B519" s="10"/>
    </row>
    <row r="520" spans="2:2">
      <c r="B520" s="10"/>
    </row>
    <row r="521" spans="2:2">
      <c r="B521" s="10"/>
    </row>
    <row r="522" spans="2:2">
      <c r="B522" s="10"/>
    </row>
    <row r="523" spans="2:2">
      <c r="B523" s="10"/>
    </row>
    <row r="524" spans="2:2">
      <c r="B524" s="10"/>
    </row>
    <row r="525" spans="2:2">
      <c r="B525" s="10"/>
    </row>
    <row r="526" spans="2:2">
      <c r="B526" s="10"/>
    </row>
    <row r="527" spans="2:2">
      <c r="B527" s="10"/>
    </row>
    <row r="528" spans="2:2">
      <c r="B528" s="10"/>
    </row>
    <row r="529" spans="2:2">
      <c r="B529" s="10"/>
    </row>
    <row r="530" spans="2:2">
      <c r="B530" s="10"/>
    </row>
    <row r="531" spans="2:2">
      <c r="B531" s="10"/>
    </row>
    <row r="532" spans="2:2">
      <c r="B532" s="10"/>
    </row>
    <row r="533" spans="2:2">
      <c r="B533" s="10"/>
    </row>
    <row r="534" spans="2:2">
      <c r="B534" s="10"/>
    </row>
    <row r="535" spans="2:2">
      <c r="B535" s="10"/>
    </row>
    <row r="536" spans="2:2">
      <c r="B536" s="10"/>
    </row>
    <row r="537" spans="2:2">
      <c r="B537" s="10"/>
    </row>
    <row r="538" spans="2:2">
      <c r="B538" s="10"/>
    </row>
    <row r="539" spans="2:2">
      <c r="B539" s="10"/>
    </row>
    <row r="540" spans="2:2">
      <c r="B540" s="10"/>
    </row>
    <row r="541" spans="2:2">
      <c r="B541" s="10"/>
    </row>
    <row r="542" spans="2:2">
      <c r="B542" s="10"/>
    </row>
    <row r="543" spans="2:2">
      <c r="B543" s="10"/>
    </row>
    <row r="544" spans="2:2">
      <c r="B544" s="10"/>
    </row>
    <row r="545" spans="2:2">
      <c r="B545" s="10"/>
    </row>
    <row r="546" spans="2:2">
      <c r="B546" s="10"/>
    </row>
    <row r="547" spans="2:2">
      <c r="B547" s="10"/>
    </row>
    <row r="548" spans="2:2">
      <c r="B548" s="10"/>
    </row>
    <row r="549" spans="2:2">
      <c r="B549" s="10"/>
    </row>
    <row r="550" spans="2:2">
      <c r="B550" s="10"/>
    </row>
    <row r="551" spans="2:2">
      <c r="B551" s="10"/>
    </row>
    <row r="552" spans="2:2">
      <c r="B552" s="10"/>
    </row>
    <row r="553" spans="2:2">
      <c r="B553" s="10"/>
    </row>
    <row r="554" spans="2:2">
      <c r="B554" s="10"/>
    </row>
    <row r="555" spans="2:2">
      <c r="B555" s="10"/>
    </row>
    <row r="556" spans="2:2">
      <c r="B556" s="10"/>
    </row>
    <row r="557" spans="2:2">
      <c r="B557" s="10"/>
    </row>
    <row r="558" spans="2:2">
      <c r="B558" s="10"/>
    </row>
    <row r="559" spans="2:2">
      <c r="B559" s="10"/>
    </row>
    <row r="560" spans="2:2">
      <c r="B560" s="10"/>
    </row>
    <row r="561" spans="2:2">
      <c r="B561" s="10"/>
    </row>
    <row r="562" spans="2:2">
      <c r="B562" s="10"/>
    </row>
    <row r="563" spans="2:2">
      <c r="B563" s="10"/>
    </row>
    <row r="564" spans="2:2">
      <c r="B564" s="10"/>
    </row>
    <row r="565" spans="2:2">
      <c r="B565" s="10"/>
    </row>
    <row r="566" spans="2:2">
      <c r="B566" s="10"/>
    </row>
    <row r="567" spans="2:2">
      <c r="B567" s="10"/>
    </row>
    <row r="568" spans="2:2">
      <c r="B568" s="10"/>
    </row>
    <row r="569" spans="2:2">
      <c r="B569" s="10"/>
    </row>
    <row r="570" spans="2:2">
      <c r="B570" s="10"/>
    </row>
    <row r="571" spans="2:2">
      <c r="B571" s="10"/>
    </row>
    <row r="572" spans="2:2">
      <c r="B572" s="10"/>
    </row>
    <row r="573" spans="2:2">
      <c r="B573" s="10"/>
    </row>
    <row r="574" spans="2:2">
      <c r="B574" s="10"/>
    </row>
    <row r="575" spans="2:2">
      <c r="B575" s="10"/>
    </row>
    <row r="576" spans="2:2">
      <c r="B576" s="10"/>
    </row>
    <row r="577" spans="2:2">
      <c r="B577" s="10"/>
    </row>
    <row r="578" spans="2:2">
      <c r="B578" s="10"/>
    </row>
    <row r="579" spans="2:2">
      <c r="B579" s="10"/>
    </row>
    <row r="580" spans="2:2">
      <c r="B580" s="10"/>
    </row>
    <row r="581" spans="2:2">
      <c r="B581" s="10"/>
    </row>
    <row r="582" spans="2:2">
      <c r="B582" s="10"/>
    </row>
    <row r="583" spans="2:2">
      <c r="B583" s="10"/>
    </row>
    <row r="584" spans="2:2">
      <c r="B584" s="10"/>
    </row>
    <row r="585" spans="2:2">
      <c r="B585" s="10"/>
    </row>
    <row r="586" spans="2:2">
      <c r="B586" s="10"/>
    </row>
    <row r="587" spans="2:2">
      <c r="B587" s="10"/>
    </row>
    <row r="588" spans="2:2">
      <c r="B588" s="10"/>
    </row>
    <row r="589" spans="2:2">
      <c r="B589" s="10"/>
    </row>
    <row r="590" spans="2:2">
      <c r="B590" s="10"/>
    </row>
    <row r="591" spans="2:2">
      <c r="B591" s="10"/>
    </row>
    <row r="592" spans="2:2">
      <c r="B592" s="10"/>
    </row>
    <row r="593" spans="2:2">
      <c r="B593" s="10"/>
    </row>
    <row r="594" spans="2:2">
      <c r="B594" s="10"/>
    </row>
    <row r="595" spans="2:2">
      <c r="B595" s="10"/>
    </row>
    <row r="596" spans="2:2">
      <c r="B596" s="10"/>
    </row>
    <row r="597" spans="2:2">
      <c r="B597" s="10"/>
    </row>
    <row r="598" spans="2:2">
      <c r="B598" s="10"/>
    </row>
    <row r="599" spans="2:2">
      <c r="B599" s="10"/>
    </row>
    <row r="600" spans="2:2">
      <c r="B600" s="10"/>
    </row>
    <row r="601" spans="2:2">
      <c r="B601" s="10"/>
    </row>
    <row r="602" spans="2:2">
      <c r="B602" s="10"/>
    </row>
    <row r="603" spans="2:2">
      <c r="B603" s="10"/>
    </row>
    <row r="604" spans="2:2">
      <c r="B604" s="10"/>
    </row>
    <row r="605" spans="2:2">
      <c r="B605" s="10"/>
    </row>
    <row r="606" spans="2:2">
      <c r="B606" s="10"/>
    </row>
    <row r="607" spans="2:2">
      <c r="B607" s="10"/>
    </row>
    <row r="608" spans="2:2">
      <c r="B608" s="10"/>
    </row>
    <row r="609" spans="2:2">
      <c r="B609" s="10"/>
    </row>
    <row r="610" spans="2:2">
      <c r="B610" s="10"/>
    </row>
    <row r="611" spans="2:2">
      <c r="B611" s="10"/>
    </row>
    <row r="612" spans="2:2">
      <c r="B612" s="10"/>
    </row>
    <row r="613" spans="2:2">
      <c r="B613" s="10"/>
    </row>
    <row r="614" spans="2:2">
      <c r="B614" s="10"/>
    </row>
    <row r="615" spans="2:2">
      <c r="B615" s="10"/>
    </row>
    <row r="616" spans="2:2">
      <c r="B616" s="10"/>
    </row>
    <row r="617" spans="2:2">
      <c r="B617" s="10"/>
    </row>
    <row r="618" spans="2:2">
      <c r="B618" s="10"/>
    </row>
    <row r="619" spans="2:2">
      <c r="B619" s="10"/>
    </row>
    <row r="620" spans="2:2">
      <c r="B620" s="10"/>
    </row>
    <row r="621" spans="2:2">
      <c r="B621" s="10"/>
    </row>
    <row r="622" spans="2:2">
      <c r="B622" s="10"/>
    </row>
    <row r="623" spans="2:2">
      <c r="B623" s="10"/>
    </row>
    <row r="624" spans="2:2">
      <c r="B624" s="10"/>
    </row>
    <row r="625" spans="2:2">
      <c r="B625" s="10"/>
    </row>
    <row r="626" spans="2:2">
      <c r="B626" s="10"/>
    </row>
    <row r="627" spans="2:2">
      <c r="B627" s="10"/>
    </row>
    <row r="628" spans="2:2">
      <c r="B628" s="10"/>
    </row>
    <row r="629" spans="2:2">
      <c r="B629" s="10"/>
    </row>
    <row r="630" spans="2:2">
      <c r="B630" s="10"/>
    </row>
    <row r="631" spans="2:2">
      <c r="B631" s="10"/>
    </row>
    <row r="632" spans="2:2">
      <c r="B632" s="10"/>
    </row>
    <row r="633" spans="2:2">
      <c r="B633" s="10"/>
    </row>
    <row r="634" spans="2:2">
      <c r="B634" s="10"/>
    </row>
    <row r="635" spans="2:2">
      <c r="B635" s="10"/>
    </row>
    <row r="636" spans="2:2">
      <c r="B636" s="10"/>
    </row>
    <row r="637" spans="2:2">
      <c r="B637" s="10"/>
    </row>
    <row r="638" spans="2:2">
      <c r="B638" s="10"/>
    </row>
    <row r="639" spans="2:2">
      <c r="B639" s="10"/>
    </row>
    <row r="640" spans="2:2">
      <c r="B640" s="10"/>
    </row>
    <row r="641" spans="2:2">
      <c r="B641" s="10"/>
    </row>
    <row r="642" spans="2:2">
      <c r="B642" s="10"/>
    </row>
    <row r="643" spans="2:2">
      <c r="B643" s="10"/>
    </row>
    <row r="644" spans="2:2">
      <c r="B644" s="10"/>
    </row>
    <row r="645" spans="2:2">
      <c r="B645" s="10"/>
    </row>
    <row r="646" spans="2:2">
      <c r="B646" s="10"/>
    </row>
    <row r="647" spans="2:2">
      <c r="B647" s="10"/>
    </row>
    <row r="648" spans="2:2">
      <c r="B648" s="10"/>
    </row>
    <row r="649" spans="2:2">
      <c r="B649" s="10"/>
    </row>
    <row r="650" spans="2:2">
      <c r="B650" s="10"/>
    </row>
    <row r="651" spans="2:2">
      <c r="B651" s="10"/>
    </row>
    <row r="652" spans="2:2">
      <c r="B652" s="10"/>
    </row>
    <row r="653" spans="2:2">
      <c r="B653" s="10"/>
    </row>
    <row r="654" spans="2:2">
      <c r="B654" s="10"/>
    </row>
    <row r="655" spans="2:2">
      <c r="B655" s="10"/>
    </row>
    <row r="656" spans="2:2">
      <c r="B656" s="10"/>
    </row>
    <row r="657" spans="2:2">
      <c r="B657" s="10"/>
    </row>
    <row r="658" spans="2:2">
      <c r="B658" s="10"/>
    </row>
    <row r="659" spans="2:2">
      <c r="B659" s="10"/>
    </row>
    <row r="660" spans="2:2">
      <c r="B660" s="10"/>
    </row>
    <row r="661" spans="2:2">
      <c r="B661" s="10"/>
    </row>
    <row r="662" spans="2:2">
      <c r="B662" s="10"/>
    </row>
    <row r="663" spans="2:2">
      <c r="B663" s="10"/>
    </row>
    <row r="664" spans="2:2">
      <c r="B664" s="10"/>
    </row>
    <row r="665" spans="2:2">
      <c r="B665" s="10"/>
    </row>
    <row r="666" spans="2:2">
      <c r="B666" s="10"/>
    </row>
    <row r="667" spans="2:2">
      <c r="B667" s="10"/>
    </row>
    <row r="668" spans="2:2">
      <c r="B668" s="10"/>
    </row>
    <row r="669" spans="2:2">
      <c r="B669" s="10"/>
    </row>
    <row r="670" spans="2:2">
      <c r="B670" s="10"/>
    </row>
    <row r="671" spans="2:2">
      <c r="B671" s="10"/>
    </row>
    <row r="672" spans="2:2">
      <c r="B672" s="10"/>
    </row>
    <row r="673" spans="2:2">
      <c r="B673" s="10"/>
    </row>
    <row r="674" spans="2:2">
      <c r="B674" s="10"/>
    </row>
    <row r="675" spans="2:2">
      <c r="B675" s="10"/>
    </row>
    <row r="676" spans="2:2">
      <c r="B676" s="10"/>
    </row>
    <row r="677" spans="2:2">
      <c r="B677" s="10"/>
    </row>
    <row r="678" spans="2:2">
      <c r="B678" s="10"/>
    </row>
    <row r="679" spans="2:2">
      <c r="B679" s="10"/>
    </row>
    <row r="680" spans="2:2">
      <c r="B680" s="10"/>
    </row>
    <row r="681" spans="2:2">
      <c r="B681" s="10"/>
    </row>
    <row r="682" spans="2:2">
      <c r="B682" s="10"/>
    </row>
    <row r="683" spans="2:2">
      <c r="B683" s="10"/>
    </row>
    <row r="684" spans="2:2">
      <c r="B684" s="10"/>
    </row>
    <row r="685" spans="2:2">
      <c r="B685" s="10"/>
    </row>
    <row r="686" spans="2:2">
      <c r="B686" s="10"/>
    </row>
    <row r="687" spans="2:2">
      <c r="B687" s="10"/>
    </row>
    <row r="688" spans="2:2">
      <c r="B688" s="10"/>
    </row>
    <row r="689" spans="2:2">
      <c r="B689" s="10"/>
    </row>
    <row r="690" spans="2:2">
      <c r="B690" s="10"/>
    </row>
    <row r="691" spans="2:2">
      <c r="B691" s="10"/>
    </row>
    <row r="692" spans="2:2">
      <c r="B692" s="10"/>
    </row>
    <row r="693" spans="2:2">
      <c r="B693" s="10"/>
    </row>
    <row r="694" spans="2:2">
      <c r="B694" s="10"/>
    </row>
    <row r="695" spans="2:2">
      <c r="B695" s="10"/>
    </row>
    <row r="696" spans="2:2">
      <c r="B696" s="10"/>
    </row>
    <row r="697" spans="2:2">
      <c r="B697" s="10"/>
    </row>
    <row r="698" spans="2:2">
      <c r="B698" s="10"/>
    </row>
    <row r="699" spans="2:2">
      <c r="B699" s="10"/>
    </row>
    <row r="700" spans="2:2">
      <c r="B700" s="10"/>
    </row>
    <row r="701" spans="2:2">
      <c r="B701" s="10"/>
    </row>
    <row r="702" spans="2:2">
      <c r="B702" s="10"/>
    </row>
    <row r="703" spans="2:2">
      <c r="B703" s="10"/>
    </row>
    <row r="704" spans="2:2">
      <c r="B704" s="10"/>
    </row>
    <row r="705" spans="2:2">
      <c r="B705" s="10"/>
    </row>
    <row r="706" spans="2:2">
      <c r="B706" s="10"/>
    </row>
    <row r="707" spans="2:2">
      <c r="B707" s="10"/>
    </row>
    <row r="708" spans="2:2">
      <c r="B708" s="10"/>
    </row>
    <row r="709" spans="2:2">
      <c r="B709" s="10"/>
    </row>
    <row r="710" spans="2:2">
      <c r="B710" s="10"/>
    </row>
    <row r="711" spans="2:2">
      <c r="B711" s="10"/>
    </row>
    <row r="712" spans="2:2">
      <c r="B712" s="10"/>
    </row>
    <row r="713" spans="2:2">
      <c r="B713" s="10"/>
    </row>
    <row r="714" spans="2:2">
      <c r="B714" s="10"/>
    </row>
    <row r="715" spans="2:2">
      <c r="B715" s="10"/>
    </row>
    <row r="716" spans="2:2">
      <c r="B716" s="10"/>
    </row>
    <row r="717" spans="2:2">
      <c r="B717" s="10"/>
    </row>
    <row r="718" spans="2:2">
      <c r="B718" s="10"/>
    </row>
    <row r="719" spans="2:2">
      <c r="B719" s="10"/>
    </row>
    <row r="720" spans="2:2">
      <c r="B720" s="10"/>
    </row>
    <row r="721" spans="2:2">
      <c r="B721" s="10"/>
    </row>
    <row r="722" spans="2:2">
      <c r="B722" s="10"/>
    </row>
    <row r="723" spans="2:2">
      <c r="B723" s="10"/>
    </row>
    <row r="724" spans="2:2">
      <c r="B724" s="10"/>
    </row>
    <row r="725" spans="2:2">
      <c r="B725" s="10"/>
    </row>
    <row r="726" spans="2:2">
      <c r="B726" s="10"/>
    </row>
    <row r="727" spans="2:2">
      <c r="B727" s="10"/>
    </row>
    <row r="728" spans="2:2">
      <c r="B728" s="10"/>
    </row>
    <row r="729" spans="2:2">
      <c r="B729" s="10"/>
    </row>
    <row r="730" spans="2:2">
      <c r="B730" s="10"/>
    </row>
    <row r="731" spans="2:2">
      <c r="B731" s="10"/>
    </row>
    <row r="732" spans="2:2">
      <c r="B732" s="10"/>
    </row>
    <row r="733" spans="2:2">
      <c r="B733" s="10"/>
    </row>
    <row r="734" spans="2:2">
      <c r="B734" s="10"/>
    </row>
    <row r="735" spans="2:2">
      <c r="B735" s="10"/>
    </row>
    <row r="736" spans="2:2">
      <c r="B736" s="10"/>
    </row>
    <row r="737" spans="2:2">
      <c r="B737" s="10"/>
    </row>
    <row r="738" spans="2:2">
      <c r="B738" s="10"/>
    </row>
    <row r="739" spans="2:2">
      <c r="B739" s="10"/>
    </row>
    <row r="740" spans="2:2">
      <c r="B740" s="10"/>
    </row>
    <row r="741" spans="2:2">
      <c r="B741" s="10"/>
    </row>
    <row r="742" spans="2:2">
      <c r="B742" s="10"/>
    </row>
    <row r="743" spans="2:2">
      <c r="B743" s="10"/>
    </row>
    <row r="744" spans="2:2">
      <c r="B744" s="10"/>
    </row>
    <row r="745" spans="2:2">
      <c r="B745" s="10"/>
    </row>
    <row r="746" spans="2:2">
      <c r="B746" s="10"/>
    </row>
    <row r="747" spans="2:2">
      <c r="B747" s="10"/>
    </row>
    <row r="748" spans="2:2">
      <c r="B748" s="10"/>
    </row>
    <row r="749" spans="2:2">
      <c r="B749" s="10"/>
    </row>
    <row r="750" spans="2:2">
      <c r="B750" s="10"/>
    </row>
    <row r="751" spans="2:2">
      <c r="B751" s="10"/>
    </row>
    <row r="752" spans="2:2">
      <c r="B752" s="10"/>
    </row>
    <row r="753" spans="2:2">
      <c r="B753" s="10"/>
    </row>
    <row r="754" spans="2:2">
      <c r="B754" s="10"/>
    </row>
    <row r="755" spans="2:2">
      <c r="B755" s="10"/>
    </row>
    <row r="756" spans="2:2">
      <c r="B756" s="10"/>
    </row>
    <row r="757" spans="2:2">
      <c r="B757" s="10"/>
    </row>
    <row r="758" spans="2:2">
      <c r="B758" s="10"/>
    </row>
    <row r="759" spans="2:2">
      <c r="B759" s="10"/>
    </row>
    <row r="760" spans="2:2">
      <c r="B760" s="10"/>
    </row>
    <row r="761" spans="2:2">
      <c r="B761" s="10"/>
    </row>
    <row r="762" spans="2:2">
      <c r="B762" s="10"/>
    </row>
    <row r="763" spans="2:2">
      <c r="B763" s="10"/>
    </row>
    <row r="764" spans="2:2">
      <c r="B764" s="10"/>
    </row>
    <row r="765" spans="2:2">
      <c r="B765" s="10"/>
    </row>
    <row r="766" spans="2:2">
      <c r="B766" s="10"/>
    </row>
    <row r="767" spans="2:2">
      <c r="B767" s="10"/>
    </row>
    <row r="768" spans="2:2">
      <c r="B768" s="10"/>
    </row>
    <row r="769" spans="2:2">
      <c r="B769" s="10"/>
    </row>
    <row r="770" spans="2:2">
      <c r="B770" s="10"/>
    </row>
    <row r="771" spans="2:2">
      <c r="B771" s="10"/>
    </row>
    <row r="772" spans="2:2">
      <c r="B772" s="10"/>
    </row>
    <row r="773" spans="2:2">
      <c r="B773" s="10"/>
    </row>
    <row r="774" spans="2:2">
      <c r="B774" s="10"/>
    </row>
    <row r="775" spans="2:2">
      <c r="B775" s="10"/>
    </row>
    <row r="776" spans="2:2">
      <c r="B776" s="10"/>
    </row>
    <row r="777" spans="2:2">
      <c r="B777" s="10"/>
    </row>
    <row r="778" spans="2:2">
      <c r="B778" s="10"/>
    </row>
    <row r="779" spans="2:2">
      <c r="B779" s="10"/>
    </row>
    <row r="780" spans="2:2">
      <c r="B780" s="10"/>
    </row>
    <row r="781" spans="2:2">
      <c r="B781" s="10"/>
    </row>
    <row r="782" spans="2:2">
      <c r="B782" s="10"/>
    </row>
    <row r="783" spans="2:2">
      <c r="B783" s="10"/>
    </row>
    <row r="784" spans="2:2">
      <c r="B784" s="10"/>
    </row>
    <row r="785" spans="2:2">
      <c r="B785" s="10"/>
    </row>
    <row r="786" spans="2:2">
      <c r="B786" s="10"/>
    </row>
    <row r="787" spans="2:2">
      <c r="B787" s="10"/>
    </row>
    <row r="788" spans="2:2">
      <c r="B788" s="10"/>
    </row>
    <row r="789" spans="2:2">
      <c r="B789" s="10"/>
    </row>
    <row r="790" spans="2:2">
      <c r="B790" s="10"/>
    </row>
    <row r="791" spans="2:2">
      <c r="B791" s="10"/>
    </row>
    <row r="792" spans="2:2">
      <c r="B792" s="10"/>
    </row>
    <row r="793" spans="2:2">
      <c r="B793" s="10"/>
    </row>
    <row r="794" spans="2:2">
      <c r="B794" s="10"/>
    </row>
    <row r="795" spans="2:2">
      <c r="B795" s="10"/>
    </row>
    <row r="796" spans="2:2">
      <c r="B796" s="10"/>
    </row>
    <row r="797" spans="2:2">
      <c r="B797" s="10"/>
    </row>
    <row r="798" spans="2:2">
      <c r="B798" s="10"/>
    </row>
    <row r="799" spans="2:2">
      <c r="B799" s="10"/>
    </row>
    <row r="800" spans="2:2">
      <c r="B800" s="10"/>
    </row>
    <row r="801" spans="2:2">
      <c r="B801" s="10"/>
    </row>
    <row r="802" spans="2:2">
      <c r="B802" s="10"/>
    </row>
    <row r="803" spans="2:2">
      <c r="B803" s="10"/>
    </row>
    <row r="804" spans="2:2">
      <c r="B804" s="10"/>
    </row>
    <row r="805" spans="2:2">
      <c r="B805" s="10"/>
    </row>
    <row r="806" spans="2:2">
      <c r="B806" s="10"/>
    </row>
    <row r="807" spans="2:2">
      <c r="B807" s="10"/>
    </row>
    <row r="808" spans="2:2">
      <c r="B808" s="10"/>
    </row>
    <row r="809" spans="2:2">
      <c r="B809" s="10"/>
    </row>
    <row r="810" spans="2:2">
      <c r="B810" s="10"/>
    </row>
    <row r="811" spans="2:2">
      <c r="B811" s="10"/>
    </row>
    <row r="812" spans="2:2">
      <c r="B812" s="10"/>
    </row>
    <row r="813" spans="2:2">
      <c r="B813" s="10"/>
    </row>
    <row r="814" spans="2:2">
      <c r="B814" s="10"/>
    </row>
    <row r="815" spans="2:2">
      <c r="B815" s="10"/>
    </row>
    <row r="816" spans="2:2">
      <c r="B816" s="10"/>
    </row>
    <row r="817" spans="2:2">
      <c r="B817" s="10"/>
    </row>
    <row r="818" spans="2:2">
      <c r="B818" s="10"/>
    </row>
    <row r="819" spans="2:2">
      <c r="B819" s="10"/>
    </row>
    <row r="820" spans="2:2">
      <c r="B820" s="10"/>
    </row>
    <row r="821" spans="2:2">
      <c r="B821" s="10"/>
    </row>
    <row r="822" spans="2:2">
      <c r="B822" s="10"/>
    </row>
    <row r="823" spans="2:2">
      <c r="B823" s="10"/>
    </row>
    <row r="824" spans="2:2">
      <c r="B824" s="10"/>
    </row>
    <row r="825" spans="2:2">
      <c r="B825" s="10"/>
    </row>
    <row r="826" spans="2:2">
      <c r="B826" s="10"/>
    </row>
    <row r="827" spans="2:2">
      <c r="B827" s="10"/>
    </row>
    <row r="828" spans="2:2">
      <c r="B828" s="10"/>
    </row>
    <row r="829" spans="2:2">
      <c r="B829" s="10"/>
    </row>
    <row r="830" spans="2:2">
      <c r="B830" s="10"/>
    </row>
    <row r="831" spans="2:2">
      <c r="B831" s="10"/>
    </row>
    <row r="832" spans="2:2">
      <c r="B832" s="10"/>
    </row>
    <row r="833" spans="2:2">
      <c r="B833" s="10"/>
    </row>
    <row r="834" spans="2:2">
      <c r="B834" s="10"/>
    </row>
    <row r="835" spans="2:2">
      <c r="B835" s="10"/>
    </row>
    <row r="836" spans="2:2">
      <c r="B836" s="10"/>
    </row>
    <row r="837" spans="2:2">
      <c r="B837" s="10"/>
    </row>
    <row r="838" spans="2:2">
      <c r="B838" s="10"/>
    </row>
    <row r="839" spans="2:2">
      <c r="B839" s="10"/>
    </row>
    <row r="840" spans="2:2">
      <c r="B840" s="10"/>
    </row>
    <row r="841" spans="2:2">
      <c r="B841" s="10"/>
    </row>
    <row r="842" spans="2:2">
      <c r="B842" s="10"/>
    </row>
    <row r="843" spans="2:2">
      <c r="B843" s="10"/>
    </row>
    <row r="844" spans="2:2">
      <c r="B844" s="10"/>
    </row>
    <row r="845" spans="2:2">
      <c r="B845" s="10"/>
    </row>
    <row r="846" spans="2:2">
      <c r="B846" s="10"/>
    </row>
    <row r="847" spans="2:2">
      <c r="B847" s="10"/>
    </row>
    <row r="848" spans="2:2">
      <c r="B848" s="10"/>
    </row>
    <row r="849" spans="2:2">
      <c r="B849" s="10"/>
    </row>
    <row r="850" spans="2:2">
      <c r="B850" s="10"/>
    </row>
    <row r="851" spans="2:2">
      <c r="B851" s="10"/>
    </row>
    <row r="852" spans="2:2">
      <c r="B852" s="10"/>
    </row>
    <row r="853" spans="2:2">
      <c r="B853" s="10"/>
    </row>
    <row r="854" spans="2:2">
      <c r="B854" s="10"/>
    </row>
    <row r="855" spans="2:2">
      <c r="B855" s="10"/>
    </row>
    <row r="856" spans="2:2">
      <c r="B856" s="10"/>
    </row>
    <row r="857" spans="2:2">
      <c r="B857" s="10"/>
    </row>
    <row r="858" spans="2:2">
      <c r="B858" s="10"/>
    </row>
    <row r="859" spans="2:2">
      <c r="B859" s="10"/>
    </row>
    <row r="860" spans="2:2">
      <c r="B860" s="10"/>
    </row>
    <row r="861" spans="2:2">
      <c r="B861" s="10"/>
    </row>
    <row r="862" spans="2:2">
      <c r="B862" s="10"/>
    </row>
    <row r="863" spans="2:2">
      <c r="B863" s="10"/>
    </row>
    <row r="864" spans="2:2">
      <c r="B864" s="10"/>
    </row>
    <row r="865" spans="2:2">
      <c r="B865" s="10"/>
    </row>
    <row r="866" spans="2:2">
      <c r="B866" s="10"/>
    </row>
    <row r="867" spans="2:2">
      <c r="B867" s="10"/>
    </row>
    <row r="868" spans="2:2">
      <c r="B868" s="10"/>
    </row>
    <row r="869" spans="2:2">
      <c r="B869" s="10"/>
    </row>
    <row r="870" spans="2:2">
      <c r="B870" s="10"/>
    </row>
    <row r="871" spans="2:2">
      <c r="B871" s="10"/>
    </row>
    <row r="872" spans="2:2">
      <c r="B872" s="10"/>
    </row>
    <row r="873" spans="2:2">
      <c r="B873" s="10"/>
    </row>
    <row r="874" spans="2:2">
      <c r="B874" s="10"/>
    </row>
    <row r="875" spans="2:2">
      <c r="B875" s="10"/>
    </row>
    <row r="876" spans="2:2">
      <c r="B876" s="10"/>
    </row>
    <row r="877" spans="2:2">
      <c r="B877" s="10"/>
    </row>
    <row r="878" spans="2:2">
      <c r="B878" s="10"/>
    </row>
    <row r="879" spans="2:2">
      <c r="B879" s="10"/>
    </row>
    <row r="880" spans="2:2">
      <c r="B880" s="10"/>
    </row>
    <row r="881" spans="2:2">
      <c r="B881" s="10"/>
    </row>
    <row r="882" spans="2:2">
      <c r="B882" s="10"/>
    </row>
    <row r="883" spans="2:2">
      <c r="B883" s="10"/>
    </row>
    <row r="884" spans="2:2">
      <c r="B884" s="10"/>
    </row>
    <row r="885" spans="2:2">
      <c r="B885" s="10"/>
    </row>
    <row r="886" spans="2:2">
      <c r="B886" s="10"/>
    </row>
    <row r="887" spans="2:2">
      <c r="B887" s="10"/>
    </row>
    <row r="888" spans="2:2">
      <c r="B888" s="10"/>
    </row>
    <row r="889" spans="2:2">
      <c r="B889" s="10"/>
    </row>
    <row r="890" spans="2:2">
      <c r="B890" s="10"/>
    </row>
    <row r="891" spans="2:2">
      <c r="B891" s="10"/>
    </row>
    <row r="892" spans="2:2">
      <c r="B892" s="10"/>
    </row>
    <row r="893" spans="2:2">
      <c r="B893" s="10"/>
    </row>
    <row r="894" spans="2:2">
      <c r="B894" s="10"/>
    </row>
    <row r="895" spans="2:2">
      <c r="B895" s="10"/>
    </row>
    <row r="896" spans="2:2">
      <c r="B896" s="10"/>
    </row>
    <row r="897" spans="2:2">
      <c r="B897" s="10"/>
    </row>
    <row r="898" spans="2:2">
      <c r="B898" s="10"/>
    </row>
    <row r="899" spans="2:2">
      <c r="B899" s="10"/>
    </row>
    <row r="900" spans="2:2">
      <c r="B900" s="10"/>
    </row>
    <row r="901" spans="2:2">
      <c r="B901" s="10"/>
    </row>
    <row r="902" spans="2:2">
      <c r="B902" s="10"/>
    </row>
    <row r="903" spans="2:2">
      <c r="B903" s="10"/>
    </row>
    <row r="904" spans="2:2">
      <c r="B904" s="10"/>
    </row>
    <row r="905" spans="2:2">
      <c r="B905" s="10"/>
    </row>
    <row r="906" spans="2:2">
      <c r="B906" s="10"/>
    </row>
    <row r="907" spans="2:2">
      <c r="B907" s="10"/>
    </row>
    <row r="908" spans="2:2">
      <c r="B908" s="10"/>
    </row>
    <row r="909" spans="2:2">
      <c r="B909" s="10"/>
    </row>
    <row r="910" spans="2:2">
      <c r="B910" s="10"/>
    </row>
    <row r="911" spans="2:2">
      <c r="B911" s="10"/>
    </row>
    <row r="912" spans="2:2">
      <c r="B912" s="10"/>
    </row>
    <row r="913" spans="2:2">
      <c r="B913" s="10"/>
    </row>
    <row r="914" spans="2:2">
      <c r="B914" s="10"/>
    </row>
    <row r="915" spans="2:2">
      <c r="B915" s="10"/>
    </row>
    <row r="916" spans="2:2">
      <c r="B916" s="10"/>
    </row>
    <row r="917" spans="2:2">
      <c r="B917" s="10"/>
    </row>
    <row r="918" spans="2:2">
      <c r="B918" s="10"/>
    </row>
    <row r="919" spans="2:2">
      <c r="B919" s="10"/>
    </row>
    <row r="920" spans="2:2">
      <c r="B920" s="10"/>
    </row>
    <row r="921" spans="2:2">
      <c r="B921" s="10"/>
    </row>
    <row r="922" spans="2:2">
      <c r="B922" s="10"/>
    </row>
    <row r="923" spans="2:2">
      <c r="B923" s="10"/>
    </row>
    <row r="924" spans="2:2">
      <c r="B924" s="10"/>
    </row>
    <row r="925" spans="2:2">
      <c r="B925" s="10"/>
    </row>
    <row r="926" spans="2:2">
      <c r="B926" s="10"/>
    </row>
    <row r="927" spans="2:2">
      <c r="B927" s="10"/>
    </row>
    <row r="928" spans="2:2">
      <c r="B928" s="10"/>
    </row>
    <row r="929" spans="2:2">
      <c r="B929" s="10"/>
    </row>
    <row r="930" spans="2:2">
      <c r="B930" s="10"/>
    </row>
    <row r="931" spans="2:2">
      <c r="B931" s="10"/>
    </row>
    <row r="932" spans="2:2">
      <c r="B932" s="10"/>
    </row>
    <row r="933" spans="2:2">
      <c r="B933" s="10"/>
    </row>
    <row r="934" spans="2:2">
      <c r="B934" s="10"/>
    </row>
    <row r="935" spans="2:2">
      <c r="B935" s="10"/>
    </row>
    <row r="936" spans="2:2">
      <c r="B936" s="10"/>
    </row>
    <row r="937" spans="2:2">
      <c r="B937" s="10"/>
    </row>
    <row r="938" spans="2:2">
      <c r="B938" s="10"/>
    </row>
    <row r="939" spans="2:2">
      <c r="B939" s="10"/>
    </row>
    <row r="940" spans="2:2">
      <c r="B940" s="10"/>
    </row>
    <row r="941" spans="2:2">
      <c r="B941" s="10"/>
    </row>
    <row r="942" spans="2:2">
      <c r="B942" s="10"/>
    </row>
    <row r="943" spans="2:2">
      <c r="B943" s="10"/>
    </row>
    <row r="944" spans="2:2">
      <c r="B944" s="10"/>
    </row>
    <row r="945" spans="2:2">
      <c r="B945" s="10"/>
    </row>
    <row r="946" spans="2:2">
      <c r="B946" s="10"/>
    </row>
    <row r="947" spans="2:2">
      <c r="B947" s="10"/>
    </row>
    <row r="948" spans="2:2">
      <c r="B948" s="10"/>
    </row>
    <row r="949" spans="2:2">
      <c r="B949" s="10"/>
    </row>
    <row r="950" spans="2:2">
      <c r="B950" s="10"/>
    </row>
    <row r="951" spans="2:2">
      <c r="B951" s="10"/>
    </row>
    <row r="952" spans="2:2">
      <c r="B952" s="10"/>
    </row>
    <row r="953" spans="2:2">
      <c r="B953" s="10"/>
    </row>
    <row r="954" spans="2:2">
      <c r="B954" s="10"/>
    </row>
    <row r="955" spans="2:2">
      <c r="B955" s="10"/>
    </row>
    <row r="956" spans="2:2">
      <c r="B956" s="10"/>
    </row>
    <row r="957" spans="2:2">
      <c r="B957" s="10"/>
    </row>
    <row r="958" spans="2:2">
      <c r="B958" s="10"/>
    </row>
    <row r="959" spans="2:2">
      <c r="B959" s="10"/>
    </row>
    <row r="960" spans="2:2">
      <c r="B960" s="10"/>
    </row>
    <row r="961" spans="2:2">
      <c r="B961" s="10"/>
    </row>
    <row r="962" spans="2:2">
      <c r="B962" s="10"/>
    </row>
    <row r="963" spans="2:2">
      <c r="B963" s="10"/>
    </row>
    <row r="964" spans="2:2">
      <c r="B964" s="10"/>
    </row>
    <row r="965" spans="2:2">
      <c r="B965" s="10"/>
    </row>
    <row r="966" spans="2:2">
      <c r="B966" s="10"/>
    </row>
    <row r="967" spans="2:2">
      <c r="B967" s="10"/>
    </row>
    <row r="968" spans="2:2">
      <c r="B968" s="10"/>
    </row>
    <row r="969" spans="2:2">
      <c r="B969" s="10"/>
    </row>
    <row r="970" spans="2:2">
      <c r="B970" s="10"/>
    </row>
    <row r="971" spans="2:2">
      <c r="B971" s="10"/>
    </row>
    <row r="972" spans="2:2">
      <c r="B972" s="10"/>
    </row>
    <row r="973" spans="2:2">
      <c r="B973" s="10"/>
    </row>
    <row r="974" spans="2:2">
      <c r="B974" s="10"/>
    </row>
    <row r="975" spans="2:2">
      <c r="B975" s="10"/>
    </row>
    <row r="976" spans="2:2">
      <c r="B976" s="10"/>
    </row>
    <row r="977" spans="2:2">
      <c r="B977" s="10"/>
    </row>
    <row r="978" spans="2:2">
      <c r="B978" s="10"/>
    </row>
    <row r="979" spans="2:2">
      <c r="B979" s="10"/>
    </row>
    <row r="980" spans="2:2">
      <c r="B980" s="10"/>
    </row>
    <row r="981" spans="2:2">
      <c r="B981" s="10"/>
    </row>
    <row r="982" spans="2:2">
      <c r="B982" s="10"/>
    </row>
    <row r="983" spans="2:2">
      <c r="B983" s="10"/>
    </row>
    <row r="984" spans="2:2">
      <c r="B984" s="10"/>
    </row>
    <row r="985" spans="2:2">
      <c r="B985" s="10"/>
    </row>
    <row r="986" spans="2:2">
      <c r="B986" s="10"/>
    </row>
    <row r="987" spans="2:2">
      <c r="B987" s="10"/>
    </row>
    <row r="988" spans="2:2">
      <c r="B988" s="10"/>
    </row>
    <row r="989" spans="2:2">
      <c r="B989" s="10"/>
    </row>
    <row r="990" spans="2:2">
      <c r="B990" s="10"/>
    </row>
    <row r="991" spans="2:2">
      <c r="B991" s="10"/>
    </row>
    <row r="992" spans="2:2">
      <c r="B992" s="10"/>
    </row>
    <row r="993" spans="2:2">
      <c r="B993" s="10"/>
    </row>
    <row r="994" spans="2:2">
      <c r="B994" s="10"/>
    </row>
    <row r="995" spans="2:2">
      <c r="B995" s="10"/>
    </row>
    <row r="996" spans="2:2">
      <c r="B996" s="10"/>
    </row>
    <row r="997" spans="2:2">
      <c r="B997" s="10"/>
    </row>
    <row r="998" spans="2:2">
      <c r="B998" s="10"/>
    </row>
    <row r="999" spans="2:2">
      <c r="B999" s="10"/>
    </row>
    <row r="1000" spans="2:2">
      <c r="B1000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opLeftCell="A108" zoomScaleNormal="100" workbookViewId="0">
      <selection activeCell="A2" sqref="A2:A109"/>
    </sheetView>
  </sheetViews>
  <sheetFormatPr defaultColWidth="12.5703125" defaultRowHeight="14.25"/>
  <cols>
    <col min="1" max="4" width="20.140625" style="1" customWidth="1"/>
  </cols>
  <sheetData>
    <row r="1" spans="1:4">
      <c r="A1" s="2" t="s">
        <v>0</v>
      </c>
      <c r="B1" s="3" t="s">
        <v>1</v>
      </c>
      <c r="C1" s="2" t="s">
        <v>2</v>
      </c>
      <c r="D1" s="4" t="s">
        <v>3</v>
      </c>
    </row>
    <row r="2" spans="1:4" ht="71.25">
      <c r="A2" s="7">
        <v>424191</v>
      </c>
      <c r="B2" s="8" t="str">
        <f ca="1">IFERROR(__xludf.dummyfunction("IMPORTXML(getIdItems(""https://www.lustrof.ru/category/ofis/kanctovary/pismennye-i-chertezhnye-prinadlezhnosti/?page="",38),""//span[@class='products__item-info-name']"")"),"Набор из 24 шт, Ручка шариковая масляная с грипом MUNHWA ""MC Gold"" (142779)")</f>
        <v>Набор из 24 шт, Ручка шариковая масляная с грипом MUNHWA "MC Gold" (142779)</v>
      </c>
      <c r="C2" s="7" t="str">
        <f ca="1">IFERROR(__xludf.dummyfunction("IMPORTXML(getIdItems(""https://www.lustrof.ru/category/ofis/kanctovary/pismennye-i-chertezhnye-prinadlezhnosti/?page="",38),""//span[@class='products__available-in-stock']"")"),"В наличии 207")</f>
        <v>В наличии 207</v>
      </c>
      <c r="D2" s="7">
        <f ca="1">IFERROR(__xludf.dummyfunction("IMPORTXML(getIdItems(""https://www.lustrof.ru/category/ofis/kanctovary/pismennye-i-chertezhnye-prinadlezhnosti/?page="",38),""//span[@class='products__price-new']/text()"")"),1152)</f>
        <v>1152</v>
      </c>
    </row>
    <row r="3" spans="1:4" ht="71.25">
      <c r="A3" s="1">
        <v>425287</v>
      </c>
      <c r="B3" s="10" t="str">
        <f ca="1">IFERROR(__xludf.dummyfunction("""COMPUTED_VALUE"""),"Набор из 24 шт, Ручка шариковая масляная с грипом MUNHWA ""MC Gold"" (142780)")</f>
        <v>Набор из 24 шт, Ручка шариковая масляная с грипом MUNHWA "MC Gold" (142780)</v>
      </c>
      <c r="C3" s="1" t="str">
        <f ca="1">IFERROR(__xludf.dummyfunction("""COMPUTED_VALUE"""),"В наличии 1622")</f>
        <v>В наличии 1622</v>
      </c>
      <c r="D3" s="1">
        <f ca="1">IFERROR(__xludf.dummyfunction("""COMPUTED_VALUE"""),1152)</f>
        <v>1152</v>
      </c>
    </row>
    <row r="4" spans="1:4" ht="71.25">
      <c r="A4" s="1">
        <v>425347</v>
      </c>
      <c r="B4" s="10" t="str">
        <f ca="1">IFERROR(__xludf.dummyfunction("""COMPUTED_VALUE"""),"Набор из 24 шт, Ручка шариковая масляная с грипом MUNHWA ""MC Gold"" (142781)")</f>
        <v>Набор из 24 шт, Ручка шариковая масляная с грипом MUNHWA "MC Gold" (142781)</v>
      </c>
      <c r="C4" s="1" t="str">
        <f ca="1">IFERROR(__xludf.dummyfunction("""COMPUTED_VALUE"""),"В наличии 142")</f>
        <v>В наличии 142</v>
      </c>
      <c r="D4" s="1">
        <f ca="1">IFERROR(__xludf.dummyfunction("""COMPUTED_VALUE"""),1152)</f>
        <v>1152</v>
      </c>
    </row>
    <row r="5" spans="1:4" ht="71.25">
      <c r="A5" s="1">
        <v>425950</v>
      </c>
      <c r="B5" s="10" t="str">
        <f ca="1">IFERROR(__xludf.dummyfunction("""COMPUTED_VALUE"""),"Набор из 24 шт, Ручка шариковая масляная с грипом MUNHWA ""MC Gold"" (142785)")</f>
        <v>Набор из 24 шт, Ручка шариковая масляная с грипом MUNHWA "MC Gold" (142785)</v>
      </c>
      <c r="C5" s="1" t="str">
        <f ca="1">IFERROR(__xludf.dummyfunction("""COMPUTED_VALUE"""),"В наличии 271")</f>
        <v>В наличии 271</v>
      </c>
      <c r="D5" s="1">
        <f ca="1">IFERROR(__xludf.dummyfunction("""COMPUTED_VALUE"""),1152)</f>
        <v>1152</v>
      </c>
    </row>
    <row r="6" spans="1:4" ht="142.5">
      <c r="A6" s="1">
        <v>431407</v>
      </c>
      <c r="B6" s="10" t="str">
        <f ca="1">IFERROR(__xludf.dummyfunction("""COMPUTED_VALUE"""),"Набор из 24 шт, Ручка шариковая масляная с грипом STAFF ""Profit"", СИНЯЯ, 
корпус прозрачный, 0,7 мм, линия письма 0,35 мм, 142982 (142982)")</f>
        <v>Набор из 24 шт, Ручка шариковая масляная с грипом STAFF "Profit", СИНЯЯ, 
корпус прозрачный, 0,7 мм, линия письма 0,35 мм, 142982 (142982)</v>
      </c>
      <c r="C6" s="1" t="str">
        <f ca="1">IFERROR(__xludf.dummyfunction("""COMPUTED_VALUE"""),"В наличии 7")</f>
        <v>В наличии 7</v>
      </c>
      <c r="D6" s="1">
        <f ca="1">IFERROR(__xludf.dummyfunction("""COMPUTED_VALUE"""),312)</f>
        <v>312</v>
      </c>
    </row>
    <row r="7" spans="1:4" ht="128.25">
      <c r="A7" s="1">
        <v>432979</v>
      </c>
      <c r="B7" s="10" t="str">
        <f ca="1">IFERROR(__xludf.dummyfunction("""COMPUTED_VALUE"""),"Набор из 24 шт, Ручка шариковая масляная с грипом STAFF ""Profit"", ЧЕРНАЯ, 
игольчатый узел 0,7 мм, линия письма 0,35 мм, 142989 (142989)")</f>
        <v>Набор из 24 шт, Ручка шариковая масляная с грипом STAFF "Profit", ЧЕРНАЯ, 
игольчатый узел 0,7 мм, линия письма 0,35 мм, 142989 (142989)</v>
      </c>
      <c r="C7" s="1" t="str">
        <f ca="1">IFERROR(__xludf.dummyfunction("""COMPUTED_VALUE"""),"В наличии 789")</f>
        <v>В наличии 789</v>
      </c>
      <c r="D7" s="1">
        <f ca="1">IFERROR(__xludf.dummyfunction("""COMPUTED_VALUE"""),336)</f>
        <v>336</v>
      </c>
    </row>
    <row r="8" spans="1:4" ht="128.25">
      <c r="A8" s="1">
        <v>434548</v>
      </c>
      <c r="B8" s="10" t="str">
        <f ca="1">IFERROR(__xludf.dummyfunction("""COMPUTED_VALUE"""),"Набор из 24 шт, Ручка шариковая настольная BRAUBERG ""Counter Pen"", СИНЯЯ, 
пружинка, корпус серебристый, 0,5 мм, 143258")</f>
        <v>Набор из 24 шт, Ручка шариковая настольная BRAUBERG "Counter Pen", СИНЯЯ, 
пружинка, корпус серебристый, 0,5 мм, 143258</v>
      </c>
      <c r="C8" s="1" t="str">
        <f ca="1">IFERROR(__xludf.dummyfunction("""COMPUTED_VALUE"""),"В наличии 1059")</f>
        <v>В наличии 1059</v>
      </c>
      <c r="D8" s="1">
        <f ca="1">IFERROR(__xludf.dummyfunction("""COMPUTED_VALUE"""),1464)</f>
        <v>1464</v>
      </c>
    </row>
    <row r="9" spans="1:4" ht="128.25">
      <c r="A9" s="1">
        <v>436365</v>
      </c>
      <c r="B9" s="10" t="str">
        <f ca="1">IFERROR(__xludf.dummyfunction("""COMPUTED_VALUE"""),"Набор из 24 шт, Ручка шариковая настольная BRAUBERG ""Counter Pen"", СИНЯЯ, 
пружинка, корпус синий, 0,5 мм, 143259")</f>
        <v>Набор из 24 шт, Ручка шариковая настольная BRAUBERG "Counter Pen", СИНЯЯ, 
пружинка, корпус синий, 0,5 мм, 143259</v>
      </c>
      <c r="C9" s="1" t="str">
        <f ca="1">IFERROR(__xludf.dummyfunction("""COMPUTED_VALUE"""),"В наличии 2622")</f>
        <v>В наличии 2622</v>
      </c>
      <c r="D9" s="1">
        <f ca="1">IFERROR(__xludf.dummyfunction("""COMPUTED_VALUE"""),1464)</f>
        <v>1464</v>
      </c>
    </row>
    <row r="10" spans="1:4" ht="57">
      <c r="A10" s="1">
        <v>438499</v>
      </c>
      <c r="B10" s="10" t="str">
        <f ca="1">IFERROR(__xludf.dummyfunction("""COMPUTED_VALUE"""),"Набор из 24 шт, Ручки шариковые BRAUBERG (141099)")</f>
        <v>Набор из 24 шт, Ручки шариковые BRAUBERG (141099)</v>
      </c>
      <c r="C10" s="1" t="str">
        <f ca="1">IFERROR(__xludf.dummyfunction("""COMPUTED_VALUE"""),"В наличии 406")</f>
        <v>В наличии 406</v>
      </c>
      <c r="D10" s="1">
        <f ca="1">IFERROR(__xludf.dummyfunction("""COMPUTED_VALUE"""),1728)</f>
        <v>1728</v>
      </c>
    </row>
    <row r="11" spans="1:4" ht="57">
      <c r="A11" s="1">
        <v>442603</v>
      </c>
      <c r="B11" s="10" t="str">
        <f ca="1">IFERROR(__xludf.dummyfunction("""COMPUTED_VALUE"""),"Набор из 24 шт, Ручки шариковые BRAUBERG (141100)")</f>
        <v>Набор из 24 шт, Ручки шариковые BRAUBERG (141100)</v>
      </c>
      <c r="C11" s="1" t="str">
        <f ca="1">IFERROR(__xludf.dummyfunction("""COMPUTED_VALUE"""),"В наличии 422")</f>
        <v>В наличии 422</v>
      </c>
      <c r="D11" s="1">
        <f ca="1">IFERROR(__xludf.dummyfunction("""COMPUTED_VALUE"""),1728)</f>
        <v>1728</v>
      </c>
    </row>
    <row r="12" spans="1:4" ht="142.5">
      <c r="A12" s="1">
        <v>442616</v>
      </c>
      <c r="B12" s="10" t="str">
        <f ca="1">IFERROR(__xludf.dummyfunction("""COMPUTED_VALUE"""),"Набор из 24 шт, Стержень стираемый гелевый BRAUBERG 111 мм, СИНИЙ, 
евронаконечник, узел 0,7 мм, линия письма 0,5 мм, 170370 (170370)")</f>
        <v>Набор из 24 шт, Стержень стираемый гелевый BRAUBERG 111 мм, СИНИЙ, 
евронаконечник, узел 0,7 мм, линия письма 0,5 мм, 170370 (170370)</v>
      </c>
      <c r="C12" s="1" t="str">
        <f ca="1">IFERROR(__xludf.dummyfunction("""COMPUTED_VALUE"""),"В наличии 1986")</f>
        <v>В наличии 1986</v>
      </c>
      <c r="D12" s="1">
        <f ca="1">IFERROR(__xludf.dummyfunction("""COMPUTED_VALUE"""),1392)</f>
        <v>1392</v>
      </c>
    </row>
    <row r="13" spans="1:4" ht="57">
      <c r="A13" s="1">
        <v>442760</v>
      </c>
      <c r="B13" s="10" t="str">
        <f ca="1">IFERROR(__xludf.dummyfunction("""COMPUTED_VALUE"""),"Набор из 24 шт, Текстовыделитель BRAUBERG ""Vivid"" (151229)")</f>
        <v>Набор из 24 шт, Текстовыделитель BRAUBERG "Vivid" (151229)</v>
      </c>
      <c r="C13" s="1" t="str">
        <f ca="1">IFERROR(__xludf.dummyfunction("""COMPUTED_VALUE"""),"В наличии 3")</f>
        <v>В наличии 3</v>
      </c>
      <c r="D13" s="1">
        <f ca="1">IFERROR(__xludf.dummyfunction("""COMPUTED_VALUE"""),384)</f>
        <v>384</v>
      </c>
    </row>
    <row r="14" spans="1:4" ht="57">
      <c r="A14" s="1">
        <v>443423</v>
      </c>
      <c r="B14" s="10" t="str">
        <f ca="1">IFERROR(__xludf.dummyfunction("""COMPUTED_VALUE"""),"Набор из 24 шт, Текстовыделитель STAFF ""STICK"" (151498)")</f>
        <v>Набор из 24 шт, Текстовыделитель STAFF "STICK" (151498)</v>
      </c>
      <c r="C14" s="1" t="str">
        <f ca="1">IFERROR(__xludf.dummyfunction("""COMPUTED_VALUE"""),"В наличии 405")</f>
        <v>В наличии 405</v>
      </c>
      <c r="D14" s="1">
        <f ca="1">IFERROR(__xludf.dummyfunction("""COMPUTED_VALUE"""),360)</f>
        <v>360</v>
      </c>
    </row>
    <row r="15" spans="1:4" ht="57">
      <c r="A15" s="1">
        <v>444256</v>
      </c>
      <c r="B15" s="10" t="str">
        <f ca="1">IFERROR(__xludf.dummyfunction("""COMPUTED_VALUE"""),"Набор из 24 шт, Текстовыделитель STAFF ""STICK"" (151499)")</f>
        <v>Набор из 24 шт, Текстовыделитель STAFF "STICK" (151499)</v>
      </c>
      <c r="C15" s="1" t="str">
        <f ca="1">IFERROR(__xludf.dummyfunction("""COMPUTED_VALUE"""),"В наличии 356")</f>
        <v>В наличии 356</v>
      </c>
      <c r="D15" s="1">
        <f ca="1">IFERROR(__xludf.dummyfunction("""COMPUTED_VALUE"""),360)</f>
        <v>360</v>
      </c>
    </row>
    <row r="16" spans="1:4" ht="85.5">
      <c r="A16" s="1">
        <v>446837</v>
      </c>
      <c r="B16" s="10" t="str">
        <f ca="1">IFERROR(__xludf.dummyfunction("""COMPUTED_VALUE"""),"Набор из 24 шт, Текстовыделитель STAFF, ГОЛУБОЙ, скошенный наконечник, 1-5 
мм, 151642")</f>
        <v>Набор из 24 шт, Текстовыделитель STAFF, ГОЛУБОЙ, скошенный наконечник, 1-5 
мм, 151642</v>
      </c>
      <c r="C16" s="1" t="str">
        <f ca="1">IFERROR(__xludf.dummyfunction("""COMPUTED_VALUE"""),"В наличии 345")</f>
        <v>В наличии 345</v>
      </c>
      <c r="D16" s="1">
        <f ca="1">IFERROR(__xludf.dummyfunction("""COMPUTED_VALUE"""),528)</f>
        <v>528</v>
      </c>
    </row>
    <row r="17" spans="1:4" ht="42.75">
      <c r="A17" s="1">
        <v>448730</v>
      </c>
      <c r="B17" s="10" t="str">
        <f ca="1">IFERROR(__xludf.dummyfunction("""COMPUTED_VALUE"""),"Набор из 24 шт, Точилка BEIFA (Бэйфа) (225016)")</f>
        <v>Набор из 24 шт, Точилка BEIFA (Бэйфа) (225016)</v>
      </c>
      <c r="C17" s="1" t="str">
        <f ca="1">IFERROR(__xludf.dummyfunction("""COMPUTED_VALUE"""),"В наличии 33")</f>
        <v>В наличии 33</v>
      </c>
      <c r="D17" s="1">
        <f ca="1">IFERROR(__xludf.dummyfunction("""COMPUTED_VALUE"""),432)</f>
        <v>432</v>
      </c>
    </row>
    <row r="18" spans="1:4" ht="114">
      <c r="A18" s="1">
        <v>449826</v>
      </c>
      <c r="B18" s="10" t="str">
        <f ca="1">IFERROR(__xludf.dummyfunction("""COMPUTED_VALUE"""),"Набор из 24 шт, Точилка BRAUBERG ""Assistant Mini"", с контейнером, 
пластиковая, корпус ассорти, 228458")</f>
        <v>Набор из 24 шт, Точилка BRAUBERG "Assistant Mini", с контейнером, 
пластиковая, корпус ассорти, 228458</v>
      </c>
      <c r="C18" s="1" t="str">
        <f ca="1">IFERROR(__xludf.dummyfunction("""COMPUTED_VALUE"""),"В наличии 2484")</f>
        <v>В наличии 2484</v>
      </c>
      <c r="D18" s="1">
        <f ca="1">IFERROR(__xludf.dummyfunction("""COMPUTED_VALUE"""),744)</f>
        <v>744</v>
      </c>
    </row>
    <row r="19" spans="1:4" ht="114">
      <c r="A19" s="1">
        <v>450634</v>
      </c>
      <c r="B19" s="10" t="str">
        <f ca="1">IFERROR(__xludf.dummyfunction("""COMPUTED_VALUE"""),"Набор из 24 шт, Точилка BRAUBERG ""Assistant"", с контейнером, пластиковая, 
корпус ассорти, 228451 (228451)")</f>
        <v>Набор из 24 шт, Точилка BRAUBERG "Assistant", с контейнером, пластиковая, 
корпус ассорти, 228451 (228451)</v>
      </c>
      <c r="C19" s="1" t="str">
        <f ca="1">IFERROR(__xludf.dummyfunction("""COMPUTED_VALUE"""),"В наличии 8")</f>
        <v>В наличии 8</v>
      </c>
      <c r="D19" s="1">
        <f ca="1">IFERROR(__xludf.dummyfunction("""COMPUTED_VALUE"""),624)</f>
        <v>624</v>
      </c>
    </row>
    <row r="20" spans="1:4" ht="114">
      <c r="A20" s="1">
        <v>451781</v>
      </c>
      <c r="B20" s="10" t="str">
        <f ca="1">IFERROR(__xludf.dummyfunction("""COMPUTED_VALUE"""),"Набор из 24 шт, Точилка BRAUBERG ""Cell Dual"", 2 отверстия, с контейнером, 
пластиковая, ассорти, 228435 (228435)")</f>
        <v>Набор из 24 шт, Точилка BRAUBERG "Cell Dual", 2 отверстия, с контейнером, 
пластиковая, ассорти, 228435 (228435)</v>
      </c>
      <c r="C20" s="1" t="str">
        <f ca="1">IFERROR(__xludf.dummyfunction("""COMPUTED_VALUE"""),"В наличии 12")</f>
        <v>В наличии 12</v>
      </c>
      <c r="D20" s="1">
        <f ca="1">IFERROR(__xludf.dummyfunction("""COMPUTED_VALUE"""),1128)</f>
        <v>1128</v>
      </c>
    </row>
    <row r="21" spans="1:4" ht="71.25">
      <c r="A21" s="1">
        <v>454335</v>
      </c>
      <c r="B21" s="10" t="str">
        <f ca="1">IFERROR(__xludf.dummyfunction("""COMPUTED_VALUE"""),"Набор из 24 шт, Точилка BRAUBERG ""Cell"" с контейнером (226944)")</f>
        <v>Набор из 24 шт, Точилка BRAUBERG "Cell" с контейнером (226944)</v>
      </c>
      <c r="C21" s="1" t="str">
        <f ca="1">IFERROR(__xludf.dummyfunction("""COMPUTED_VALUE"""),"В наличии 5983")</f>
        <v>В наличии 5983</v>
      </c>
      <c r="D21" s="1">
        <f ca="1">IFERROR(__xludf.dummyfunction("""COMPUTED_VALUE"""),1056)</f>
        <v>1056</v>
      </c>
    </row>
    <row r="22" spans="1:4" ht="71.25">
      <c r="A22" s="1">
        <v>457679</v>
      </c>
      <c r="B22" s="10" t="str">
        <f ca="1">IFERROR(__xludf.dummyfunction("""COMPUTED_VALUE"""),"Набор из 24 шт, Точилка BRAUBERG ""Chief"" с контейнером (226942)")</f>
        <v>Набор из 24 шт, Точилка BRAUBERG "Chief" с контейнером (226942)</v>
      </c>
      <c r="C22" s="1" t="str">
        <f ca="1">IFERROR(__xludf.dummyfunction("""COMPUTED_VALUE"""),"В наличии 270")</f>
        <v>В наличии 270</v>
      </c>
      <c r="D22" s="1">
        <f ca="1">IFERROR(__xludf.dummyfunction("""COMPUTED_VALUE"""),1392)</f>
        <v>1392</v>
      </c>
    </row>
    <row r="23" spans="1:4" ht="57">
      <c r="A23" s="1">
        <v>457774</v>
      </c>
      <c r="B23" s="10" t="str">
        <f ca="1">IFERROR(__xludf.dummyfunction("""COMPUTED_VALUE"""),"Набор из 24 шт, Точилка BRAUBERG ""Diamond"" (222491)")</f>
        <v>Набор из 24 шт, Точилка BRAUBERG "Diamond" (222491)</v>
      </c>
      <c r="C23" s="1" t="str">
        <f ca="1">IFERROR(__xludf.dummyfunction("""COMPUTED_VALUE"""),"В наличии 4728")</f>
        <v>В наличии 4728</v>
      </c>
      <c r="D23" s="1">
        <f ca="1">IFERROR(__xludf.dummyfunction("""COMPUTED_VALUE"""),648)</f>
        <v>648</v>
      </c>
    </row>
    <row r="24" spans="1:4" ht="114">
      <c r="A24" s="1">
        <v>457837</v>
      </c>
      <c r="B24" s="10" t="str">
        <f ca="1">IFERROR(__xludf.dummyfunction("""COMPUTED_VALUE"""),"Набор из 24 шт, Точилка BRAUBERG ""Flash"", с контейнером, пластиковая, 
корпус ассорти, 228472 (228472)")</f>
        <v>Набор из 24 шт, Точилка BRAUBERG "Flash", с контейнером, пластиковая, 
корпус ассорти, 228472 (228472)</v>
      </c>
      <c r="C24" s="1" t="str">
        <f ca="1">IFERROR(__xludf.dummyfunction("""COMPUTED_VALUE"""),"В наличии 1169")</f>
        <v>В наличии 1169</v>
      </c>
      <c r="D24" s="1">
        <f ca="1">IFERROR(__xludf.dummyfunction("""COMPUTED_VALUE"""),1728)</f>
        <v>1728</v>
      </c>
    </row>
    <row r="25" spans="1:4" ht="71.25">
      <c r="A25" s="1">
        <v>457838</v>
      </c>
      <c r="B25" s="10" t="str">
        <f ca="1">IFERROR(__xludf.dummyfunction("""COMPUTED_VALUE"""),"Набор из 24 шт, Точилка BRAUBERG ""OfficeBox"" (222494)")</f>
        <v>Набор из 24 шт, Точилка BRAUBERG "OfficeBox" (222494)</v>
      </c>
      <c r="C25" s="1" t="str">
        <f ca="1">IFERROR(__xludf.dummyfunction("""COMPUTED_VALUE"""),"В наличии 5594")</f>
        <v>В наличии 5594</v>
      </c>
      <c r="D25" s="1">
        <f ca="1">IFERROR(__xludf.dummyfunction("""COMPUTED_VALUE"""),1080)</f>
        <v>1080</v>
      </c>
    </row>
    <row r="26" spans="1:4" ht="114">
      <c r="A26" s="1">
        <v>458067</v>
      </c>
      <c r="B26" s="10" t="str">
        <f ca="1">IFERROR(__xludf.dummyfunction("""COMPUTED_VALUE"""),"Набор из 24 шт, Точилка BRAUBERG ""Rewind"", с контейнером, пластиковая, 
корпус ассорти, 228468 (228468)")</f>
        <v>Набор из 24 шт, Точилка BRAUBERG "Rewind", с контейнером, пластиковая, 
корпус ассорти, 228468 (228468)</v>
      </c>
      <c r="C26" s="1" t="str">
        <f ca="1">IFERROR(__xludf.dummyfunction("""COMPUTED_VALUE"""),"В наличии 603")</f>
        <v>В наличии 603</v>
      </c>
      <c r="D26" s="1">
        <f ca="1">IFERROR(__xludf.dummyfunction("""COMPUTED_VALUE"""),2352)</f>
        <v>2352</v>
      </c>
    </row>
    <row r="27" spans="1:4" ht="114">
      <c r="A27" s="1">
        <v>465869</v>
      </c>
      <c r="B27" s="10" t="str">
        <f ca="1">IFERROR(__xludf.dummyfunction("""COMPUTED_VALUE"""),"Набор из 24 шт, Точилка BRAUBERG ""Roll"", с контейнером, пластиковая, корпус 
ассорти, 228464 (228464)")</f>
        <v>Набор из 24 шт, Точилка BRAUBERG "Roll", с контейнером, пластиковая, корпус 
ассорти, 228464 (228464)</v>
      </c>
      <c r="C27" s="1" t="str">
        <f ca="1">IFERROR(__xludf.dummyfunction("""COMPUTED_VALUE"""),"В наличии 1086")</f>
        <v>В наличии 1086</v>
      </c>
      <c r="D27" s="1">
        <f ca="1">IFERROR(__xludf.dummyfunction("""COMPUTED_VALUE"""),1464)</f>
        <v>1464</v>
      </c>
    </row>
    <row r="28" spans="1:4" ht="114">
      <c r="A28" s="1">
        <v>467199</v>
      </c>
      <c r="B28" s="10" t="str">
        <f ca="1">IFERROR(__xludf.dummyfunction("""COMPUTED_VALUE"""),"Набор из 24 шт, Точилка BRAUBERG ""Sharp"", с контейнером, пластиковая, 
корпус ассорти, 228462 (228462)")</f>
        <v>Набор из 24 шт, Точилка BRAUBERG "Sharp", с контейнером, пластиковая, 
корпус ассорти, 228462 (228462)</v>
      </c>
      <c r="C28" s="1" t="str">
        <f ca="1">IFERROR(__xludf.dummyfunction("""COMPUTED_VALUE"""),"В наличии 265")</f>
        <v>В наличии 265</v>
      </c>
      <c r="D28" s="1">
        <f ca="1">IFERROR(__xludf.dummyfunction("""COMPUTED_VALUE"""),1872)</f>
        <v>1872</v>
      </c>
    </row>
    <row r="29" spans="1:4" ht="57">
      <c r="A29" s="1">
        <v>468718</v>
      </c>
      <c r="B29" s="10" t="str">
        <f ca="1">IFERROR(__xludf.dummyfunction("""COMPUTED_VALUE"""),"Набор из 24 шт, Точилка BRAUBERG ""Space"" (223589)")</f>
        <v>Набор из 24 шт, Точилка BRAUBERG "Space" (223589)</v>
      </c>
      <c r="C29" s="1" t="str">
        <f ca="1">IFERROR(__xludf.dummyfunction("""COMPUTED_VALUE"""),"В наличии 536")</f>
        <v>В наличии 536</v>
      </c>
      <c r="D29" s="1">
        <f ca="1">IFERROR(__xludf.dummyfunction("""COMPUTED_VALUE"""),2688)</f>
        <v>2688</v>
      </c>
    </row>
    <row r="30" spans="1:4" ht="57">
      <c r="A30" s="1">
        <v>472823</v>
      </c>
      <c r="B30" s="10" t="str">
        <f ca="1">IFERROR(__xludf.dummyfunction("""COMPUTED_VALUE"""),"Набор из 24 шт, Точилка BRAUBERG ""Style"" (222484)")</f>
        <v>Набор из 24 шт, Точилка BRAUBERG "Style" (222484)</v>
      </c>
      <c r="C30" s="1" t="str">
        <f ca="1">IFERROR(__xludf.dummyfunction("""COMPUTED_VALUE"""),"В наличии 6547")</f>
        <v>В наличии 6547</v>
      </c>
      <c r="D30" s="1">
        <f ca="1">IFERROR(__xludf.dummyfunction("""COMPUTED_VALUE"""),552)</f>
        <v>552</v>
      </c>
    </row>
    <row r="31" spans="1:4" ht="71.25">
      <c r="A31" s="1">
        <v>473158</v>
      </c>
      <c r="B31" s="10" t="str">
        <f ca="1">IFERROR(__xludf.dummyfunction("""COMPUTED_VALUE"""),"Набор из 24 шт, Точилка BRAUBERG ""Tern"" с контейнером (226939)")</f>
        <v>Набор из 24 шт, Точилка BRAUBERG "Tern" с контейнером (226939)</v>
      </c>
      <c r="C31" s="1" t="str">
        <f ca="1">IFERROR(__xludf.dummyfunction("""COMPUTED_VALUE"""),"В наличии 265")</f>
        <v>В наличии 265</v>
      </c>
      <c r="D31" s="1">
        <f ca="1">IFERROR(__xludf.dummyfunction("""COMPUTED_VALUE"""),1800)</f>
        <v>1800</v>
      </c>
    </row>
    <row r="32" spans="1:4" ht="99.75">
      <c r="A32" s="1">
        <v>474756</v>
      </c>
      <c r="B32" s="10" t="str">
        <f ca="1">IFERROR(__xludf.dummyfunction("""COMPUTED_VALUE"""),"Набор из 24 шт, Точилка BRAUBERG ""ZigZag"", металлическая, корпус ассорти, 
228457")</f>
        <v>Набор из 24 шт, Точилка BRAUBERG "ZigZag", металлическая, корпус ассорти, 
228457</v>
      </c>
      <c r="C32" s="1" t="str">
        <f ca="1">IFERROR(__xludf.dummyfunction("""COMPUTED_VALUE"""),"В наличии 1760")</f>
        <v>В наличии 1760</v>
      </c>
      <c r="D32" s="1">
        <f ca="1">IFERROR(__xludf.dummyfunction("""COMPUTED_VALUE"""),1536)</f>
        <v>1536</v>
      </c>
    </row>
    <row r="33" spans="1:4" ht="57">
      <c r="A33" s="1">
        <v>477214</v>
      </c>
      <c r="B33" s="10" t="str">
        <f ca="1">IFERROR(__xludf.dummyfunction("""COMPUTED_VALUE"""),"Набор из 24 шт, Точилка MAPED ""Loopy Fancy"" (228777)")</f>
        <v>Набор из 24 шт, Точилка MAPED "Loopy Fancy" (228777)</v>
      </c>
      <c r="C33" s="1" t="str">
        <f ca="1">IFERROR(__xludf.dummyfunction("""COMPUTED_VALUE"""),"В наличии 114")</f>
        <v>В наличии 114</v>
      </c>
      <c r="D33" s="1">
        <f ca="1">IFERROR(__xludf.dummyfunction("""COMPUTED_VALUE"""),4056)</f>
        <v>4056</v>
      </c>
    </row>
    <row r="34" spans="1:4" ht="114">
      <c r="A34" s="1">
        <v>477216</v>
      </c>
      <c r="B34" s="10" t="str">
        <f ca="1">IFERROR(__xludf.dummyfunction("""COMPUTED_VALUE"""),"Набор из 24 шт, Точилка ПИФАГОР ""Смайлики"", 2 отверстия, с контейнером, 
пластиковая, ассорти, 228444 (228444)")</f>
        <v>Набор из 24 шт, Точилка ПИФАГОР "Смайлики", 2 отверстия, с контейнером, 
пластиковая, ассорти, 228444 (228444)</v>
      </c>
      <c r="C34" s="1" t="str">
        <f ca="1">IFERROR(__xludf.dummyfunction("""COMPUTED_VALUE"""),"В наличии 416")</f>
        <v>В наличии 416</v>
      </c>
      <c r="D34" s="1">
        <f ca="1">IFERROR(__xludf.dummyfunction("""COMPUTED_VALUE"""),768)</f>
        <v>768</v>
      </c>
    </row>
    <row r="35" spans="1:4" ht="114">
      <c r="A35" s="1">
        <v>479408</v>
      </c>
      <c r="B35" s="10" t="str">
        <f ca="1">IFERROR(__xludf.dummyfunction("""COMPUTED_VALUE"""),"Набор из 24 шт, Точилка ЮНЛАНДИЯ ""Грибочек"", с контейнером, пластиковая, 
корпус ассорти, 228460")</f>
        <v>Набор из 24 шт, Точилка ЮНЛАНДИЯ "Грибочек", с контейнером, пластиковая, 
корпус ассорти, 228460</v>
      </c>
      <c r="C35" s="1" t="str">
        <f ca="1">IFERROR(__xludf.dummyfunction("""COMPUTED_VALUE"""),"В наличии 913")</f>
        <v>В наличии 913</v>
      </c>
      <c r="D35" s="1">
        <f ca="1">IFERROR(__xludf.dummyfunction("""COMPUTED_VALUE"""),864)</f>
        <v>864</v>
      </c>
    </row>
    <row r="36" spans="1:4" ht="114">
      <c r="A36" s="1">
        <v>480454</v>
      </c>
      <c r="B36" s="10" t="str">
        <f ca="1">IFERROR(__xludf.dummyfunction("""COMPUTED_VALUE"""),"Набор из 24 шт, Точилка ЮНЛАНДИЯ ""Звездочка"", с контейнером, пластиковая, 
корпус ассорти, 228453 (228453)")</f>
        <v>Набор из 24 шт, Точилка ЮНЛАНДИЯ "Звездочка", с контейнером, пластиковая, 
корпус ассорти, 228453 (228453)</v>
      </c>
      <c r="C36" s="1" t="str">
        <f ca="1">IFERROR(__xludf.dummyfunction("""COMPUTED_VALUE"""),"В наличии 460")</f>
        <v>В наличии 460</v>
      </c>
      <c r="D36" s="1">
        <f ca="1">IFERROR(__xludf.dummyfunction("""COMPUTED_VALUE"""),528)</f>
        <v>528</v>
      </c>
    </row>
    <row r="37" spans="1:4" ht="142.5">
      <c r="A37" s="1">
        <v>481143</v>
      </c>
      <c r="B37" s="10" t="str">
        <f ca="1">IFERROR(__xludf.dummyfunction("""COMPUTED_VALUE"""),"Набор из 24 шт, Точилка ЮНЛАНДИЯ ""Карандашик"", со стирательной резинкой, с 
контейнером, пластиковая, ассорти, 228440 (228440)")</f>
        <v>Набор из 24 шт, Точилка ЮНЛАНДИЯ "Карандашик", со стирательной резинкой, с 
контейнером, пластиковая, ассорти, 228440 (228440)</v>
      </c>
      <c r="C37" s="1" t="str">
        <f ca="1">IFERROR(__xludf.dummyfunction("""COMPUTED_VALUE"""),"В наличии 6")</f>
        <v>В наличии 6</v>
      </c>
      <c r="D37" s="1">
        <f ca="1">IFERROR(__xludf.dummyfunction("""COMPUTED_VALUE"""),720)</f>
        <v>720</v>
      </c>
    </row>
    <row r="38" spans="1:4" ht="114">
      <c r="A38" s="7">
        <v>481832</v>
      </c>
      <c r="B38" s="8" t="str">
        <f ca="1">IFERROR(__xludf.dummyfunction("IMPORTXML(getIdItems(""https://www.lustrof.ru/category/ofis/kanctovary/pismennye-i-chertezhnye-prinadlezhnosti/?page="",39),""//span[@class='products__item-info-name']"")"),"Набор из 24 шт, Точилка ЮНЛАНДИЯ ""Космо Мини"", с контейнером, пластиковая, 
корпус ассорти, 228459")</f>
        <v>Набор из 24 шт, Точилка ЮНЛАНДИЯ "Космо Мини", с контейнером, пластиковая, 
корпус ассорти, 228459</v>
      </c>
      <c r="C38" s="7" t="str">
        <f ca="1">IFERROR(__xludf.dummyfunction("IMPORTXML(getIdItems(""https://www.lustrof.ru/category/ofis/kanctovary/pismennye-i-chertezhnye-prinadlezhnosti/?page="",39),""//span[@class='products__available-in-stock']"")"),"В наличии 1571")</f>
        <v>В наличии 1571</v>
      </c>
      <c r="D38" s="7">
        <f ca="1">IFERROR(__xludf.dummyfunction("IMPORTXML(getIdItems(""https://www.lustrof.ru/category/ofis/kanctovary/pismennye-i-chertezhnye-prinadlezhnosti/?page="",39),""//span[@class='products__price-new']/text()"")"),672)</f>
        <v>672</v>
      </c>
    </row>
    <row r="39" spans="1:4" ht="114">
      <c r="A39" s="1">
        <v>483160</v>
      </c>
      <c r="B39" s="10" t="str">
        <f ca="1">IFERROR(__xludf.dummyfunction("""COMPUTED_VALUE"""),"Набор из 24 шт, Точилка ЮНЛАНДИЯ ""Космо"", с контейнером, пластиковая, 
корпус ассорти, 228452 (228452)")</f>
        <v>Набор из 24 шт, Точилка ЮНЛАНДИЯ "Космо", с контейнером, пластиковая, 
корпус ассорти, 228452 (228452)</v>
      </c>
      <c r="C39" s="1" t="str">
        <f ca="1">IFERROR(__xludf.dummyfunction("""COMPUTED_VALUE"""),"В наличии 2879")</f>
        <v>В наличии 2879</v>
      </c>
      <c r="D39" s="1">
        <f ca="1">IFERROR(__xludf.dummyfunction("""COMPUTED_VALUE"""),576)</f>
        <v>576</v>
      </c>
    </row>
    <row r="40" spans="1:4" ht="128.25">
      <c r="A40" s="1">
        <v>485657</v>
      </c>
      <c r="B40" s="10" t="str">
        <f ca="1">IFERROR(__xludf.dummyfunction("""COMPUTED_VALUE"""),"Набор из 24 шт, Точилка ЮНЛАНДИЯ ""Радуга"", с контейнером, овальная, 
пластиковая, корпус ассорти, 228765")</f>
        <v>Набор из 24 шт, Точилка ЮНЛАНДИЯ "Радуга", с контейнером, овальная, 
пластиковая, корпус ассорти, 228765</v>
      </c>
      <c r="C40" s="1" t="str">
        <f ca="1">IFERROR(__xludf.dummyfunction("""COMPUTED_VALUE"""),"В наличии 2192")</f>
        <v>В наличии 2192</v>
      </c>
      <c r="D40" s="1">
        <f ca="1">IFERROR(__xludf.dummyfunction("""COMPUTED_VALUE"""),648)</f>
        <v>648</v>
      </c>
    </row>
    <row r="41" spans="1:4" ht="114">
      <c r="A41" s="1">
        <v>488309</v>
      </c>
      <c r="B41" s="10" t="str">
        <f ca="1">IFERROR(__xludf.dummyfunction("""COMPUTED_VALUE"""),"Набор из 24 шт, Точилка ЮНЛАНДИЯ ""Спутник"", с контейнером, пластиковая, 
корпус ассорти, 228447 (228447)")</f>
        <v>Набор из 24 шт, Точилка ЮНЛАНДИЯ "Спутник", с контейнером, пластиковая, 
корпус ассорти, 228447 (228447)</v>
      </c>
      <c r="C41" s="1" t="str">
        <f ca="1">IFERROR(__xludf.dummyfunction("""COMPUTED_VALUE"""),"В наличии 629")</f>
        <v>В наличии 629</v>
      </c>
      <c r="D41" s="1">
        <f ca="1">IFERROR(__xludf.dummyfunction("""COMPUTED_VALUE"""),504)</f>
        <v>504</v>
      </c>
    </row>
    <row r="42" spans="1:4" ht="128.25">
      <c r="A42" s="1">
        <v>490611</v>
      </c>
      <c r="B42" s="10" t="str">
        <f ca="1">IFERROR(__xludf.dummyfunction("""COMPUTED_VALUE"""),"Набор из 24 шт, Точилка ЮНЛАНДИЯ ""Трио"", с контейнером, пластиковая, корпус 
ассорти, 228438 (228438)")</f>
        <v>Набор из 24 шт, Точилка ЮНЛАНДИЯ "Трио", с контейнером, пластиковая, корпус 
ассорти, 228438 (228438)</v>
      </c>
      <c r="C42" s="1" t="str">
        <f ca="1">IFERROR(__xludf.dummyfunction("""COMPUTED_VALUE"""),"В наличии 16")</f>
        <v>В наличии 16</v>
      </c>
      <c r="D42" s="1">
        <f ca="1">IFERROR(__xludf.dummyfunction("""COMPUTED_VALUE"""),744)</f>
        <v>744</v>
      </c>
    </row>
    <row r="43" spans="1:4" ht="128.25">
      <c r="A43" s="1">
        <v>490999</v>
      </c>
      <c r="B43" s="10" t="str">
        <f ca="1">IFERROR(__xludf.dummyfunction("""COMPUTED_VALUE"""),"Набор из 24 шт, Транспортир 10 см BRAUBERG ""FRESH ZONE"", 180 градусов, 
пластик, прозрачный, красная шкала, 210760")</f>
        <v>Набор из 24 шт, Транспортир 10 см BRAUBERG "FRESH ZONE", 180 градусов, 
пластик, прозрачный, красная шкала, 210760</v>
      </c>
      <c r="C43" s="1" t="str">
        <f ca="1">IFERROR(__xludf.dummyfunction("""COMPUTED_VALUE"""),"В наличии 508")</f>
        <v>В наличии 508</v>
      </c>
      <c r="D43" s="1">
        <f ca="1">IFERROR(__xludf.dummyfunction("""COMPUTED_VALUE"""),720)</f>
        <v>720</v>
      </c>
    </row>
    <row r="44" spans="1:4" ht="99.75">
      <c r="A44" s="1">
        <v>499071</v>
      </c>
      <c r="B44" s="10" t="str">
        <f ca="1">IFERROR(__xludf.dummyfunction("""COMPUTED_VALUE"""),"Набор из 24 шт, Транспортир 10 см BRAUBERG ""FRUITY"", 180 градусов, пластик, 
тонированный, ассорти, 210768")</f>
        <v>Набор из 24 шт, Транспортир 10 см BRAUBERG "FRUITY", 180 градусов, пластик, 
тонированный, ассорти, 210768</v>
      </c>
      <c r="C44" s="1" t="str">
        <f ca="1">IFERROR(__xludf.dummyfunction("""COMPUTED_VALUE"""),"В наличии 896")</f>
        <v>В наличии 896</v>
      </c>
      <c r="D44" s="1">
        <f ca="1">IFERROR(__xludf.dummyfunction("""COMPUTED_VALUE"""),720)</f>
        <v>720</v>
      </c>
    </row>
    <row r="45" spans="1:4" ht="156.75">
      <c r="A45" s="1">
        <v>500929</v>
      </c>
      <c r="B45" s="10" t="str">
        <f ca="1">IFERROR(__xludf.dummyfunction("""COMPUTED_VALUE"""),"Набор из 24 шт, Фломастеры BRAUBERG ""PREMIUM"", 6 цветов, КЛАССИЧЕСКИЕ, 
вентилируемый колпачок, ПВХ-упаковка с европодвесом, 151933")</f>
        <v>Набор из 24 шт, Фломастеры BRAUBERG "PREMIUM", 6 цветов, КЛАССИЧЕСКИЕ, 
вентилируемый колпачок, ПВХ-упаковка с европодвесом, 151933</v>
      </c>
      <c r="C45" s="1" t="str">
        <f ca="1">IFERROR(__xludf.dummyfunction("""COMPUTED_VALUE"""),"В наличии 625")</f>
        <v>В наличии 625</v>
      </c>
      <c r="D45" s="1">
        <f ca="1">IFERROR(__xludf.dummyfunction("""COMPUTED_VALUE"""),1224)</f>
        <v>1224</v>
      </c>
    </row>
    <row r="46" spans="1:4" ht="185.25">
      <c r="A46" s="1">
        <v>503180</v>
      </c>
      <c r="B46" s="10" t="str">
        <f ca="1">IFERROR(__xludf.dummyfunction("""COMPUTED_VALUE"""),"Набор из 24 шт, Фломастеры BRAUBERG ""PREMIUM"", 6 цветов, УЛЬТРАСМЫВАЕМЫЕ, 
классические, вентилируемый колпачок, картонная коробка с европодвесом, 
151937")</f>
        <v>Набор из 24 шт, Фломастеры BRAUBERG "PREMIUM", 6 цветов, УЛЬТРАСМЫВАЕМЫЕ, 
классические, вентилируемый колпачок, картонная коробка с европодвесом, 
151937</v>
      </c>
      <c r="C46" s="1" t="str">
        <f ca="1">IFERROR(__xludf.dummyfunction("""COMPUTED_VALUE"""),"В наличии 348")</f>
        <v>В наличии 348</v>
      </c>
      <c r="D46" s="1">
        <f ca="1">IFERROR(__xludf.dummyfunction("""COMPUTED_VALUE"""),1416)</f>
        <v>1416</v>
      </c>
    </row>
    <row r="47" spans="1:4" ht="57">
      <c r="A47" s="1">
        <v>503283</v>
      </c>
      <c r="B47" s="10" t="str">
        <f ca="1">IFERROR(__xludf.dummyfunction("""COMPUTED_VALUE"""),"Набор из 24 шт, Фломастеры BRAUBERG ""Star Patrol"" (150543)")</f>
        <v>Набор из 24 шт, Фломастеры BRAUBERG "Star Patrol" (150543)</v>
      </c>
      <c r="C47" s="1" t="str">
        <f ca="1">IFERROR(__xludf.dummyfunction("""COMPUTED_VALUE"""),"В наличии 52")</f>
        <v>В наличии 52</v>
      </c>
      <c r="D47" s="1">
        <f ca="1">IFERROR(__xludf.dummyfunction("""COMPUTED_VALUE"""),1248)</f>
        <v>1248</v>
      </c>
    </row>
    <row r="48" spans="1:4" ht="57">
      <c r="A48" s="1">
        <v>507468</v>
      </c>
      <c r="B48" s="10" t="str">
        <f ca="1">IFERROR(__xludf.dummyfunction("""COMPUTED_VALUE"""),"Набор из 24 шт, Фломастеры ПИФАГОР ""Гонщики"" (151392)")</f>
        <v>Набор из 24 шт, Фломастеры ПИФАГОР "Гонщики" (151392)</v>
      </c>
      <c r="C48" s="1" t="str">
        <f ca="1">IFERROR(__xludf.dummyfunction("""COMPUTED_VALUE"""),"В наличии 427")</f>
        <v>В наличии 427</v>
      </c>
      <c r="D48" s="1">
        <f ca="1">IFERROR(__xludf.dummyfunction("""COMPUTED_VALUE"""),720)</f>
        <v>720</v>
      </c>
    </row>
    <row r="49" spans="1:4" ht="71.25">
      <c r="A49" s="1">
        <v>508593</v>
      </c>
      <c r="B49" s="10" t="str">
        <f ca="1">IFERROR(__xludf.dummyfunction("""COMPUTED_VALUE"""),"Набор из 24 шт, Фломастеры ПИФАГОР ""Принцессы"" (151404)")</f>
        <v>Набор из 24 шт, Фломастеры ПИФАГОР "Принцессы" (151404)</v>
      </c>
      <c r="C49" s="1" t="str">
        <f ca="1">IFERROR(__xludf.dummyfunction("""COMPUTED_VALUE"""),"В наличии 1514")</f>
        <v>В наличии 1514</v>
      </c>
      <c r="D49" s="1">
        <f ca="1">IFERROR(__xludf.dummyfunction("""COMPUTED_VALUE"""),720)</f>
        <v>720</v>
      </c>
    </row>
    <row r="50" spans="1:4" ht="57">
      <c r="A50" s="1">
        <v>511199</v>
      </c>
      <c r="B50" s="10" t="str">
        <f ca="1">IFERROR(__xludf.dummyfunction("""COMPUTED_VALUE"""),"Набор из 24 шт, Фломастеры ПИФАГОР ""ЭНИКИ-БЕНИКИ"" (151400)")</f>
        <v>Набор из 24 шт, Фломастеры ПИФАГОР "ЭНИКИ-БЕНИКИ" (151400)</v>
      </c>
      <c r="C50" s="1" t="str">
        <f ca="1">IFERROR(__xludf.dummyfunction("""COMPUTED_VALUE"""),"В наличии 280")</f>
        <v>В наличии 280</v>
      </c>
      <c r="D50" s="1">
        <f ca="1">IFERROR(__xludf.dummyfunction("""COMPUTED_VALUE"""),720)</f>
        <v>720</v>
      </c>
    </row>
    <row r="51" spans="1:4" ht="57">
      <c r="A51" s="1">
        <v>512515</v>
      </c>
      <c r="B51" s="10" t="str">
        <f ca="1">IFERROR(__xludf.dummyfunction("""COMPUTED_VALUE"""),"Набор из 24 шт, Фломастеры ПИФАГОР (151089)")</f>
        <v>Набор из 24 шт, Фломастеры ПИФАГОР (151089)</v>
      </c>
      <c r="C51" s="1" t="str">
        <f ca="1">IFERROR(__xludf.dummyfunction("""COMPUTED_VALUE"""),"В наличии 2019")</f>
        <v>В наличии 2019</v>
      </c>
      <c r="D51" s="1">
        <f ca="1">IFERROR(__xludf.dummyfunction("""COMPUTED_VALUE"""),720)</f>
        <v>720</v>
      </c>
    </row>
    <row r="52" spans="1:4" ht="57">
      <c r="A52" s="1">
        <v>513186</v>
      </c>
      <c r="B52" s="10" t="str">
        <f ca="1">IFERROR(__xludf.dummyfunction("""COMPUTED_VALUE"""),"Набор из 24 шт, Фломастеры ЮНЛАНДИЯ 6 цветов (151414)")</f>
        <v>Набор из 24 шт, Фломастеры ЮНЛАНДИЯ 6 цветов (151414)</v>
      </c>
      <c r="C52" s="1" t="str">
        <f ca="1">IFERROR(__xludf.dummyfunction("""COMPUTED_VALUE"""),"В наличии 149")</f>
        <v>В наличии 149</v>
      </c>
      <c r="D52" s="1">
        <f ca="1">IFERROR(__xludf.dummyfunction("""COMPUTED_VALUE"""),1104)</f>
        <v>1104</v>
      </c>
    </row>
    <row r="53" spans="1:4" ht="57">
      <c r="A53" s="1">
        <v>514822</v>
      </c>
      <c r="B53" s="10" t="str">
        <f ca="1">IFERROR(__xludf.dummyfunction("""COMPUTED_VALUE"""),"Набор из 24 шт, Циркуль ERICH KRAUSE ""S-Cool"" (210376)")</f>
        <v>Набор из 24 шт, Циркуль ERICH KRAUSE "S-Cool" (210376)</v>
      </c>
      <c r="C53" s="1" t="str">
        <f ca="1">IFERROR(__xludf.dummyfunction("""COMPUTED_VALUE"""),"В наличии 196")</f>
        <v>В наличии 196</v>
      </c>
      <c r="D53" s="1">
        <f ca="1">IFERROR(__xludf.dummyfunction("""COMPUTED_VALUE"""),3792)</f>
        <v>3792</v>
      </c>
    </row>
    <row r="54" spans="1:4" ht="57">
      <c r="A54" s="1">
        <v>516445</v>
      </c>
      <c r="B54" s="10" t="str">
        <f ca="1">IFERROR(__xludf.dummyfunction("""COMPUTED_VALUE"""),"Набор из 24 шт, Циркуль ПИФАГОР пластиковый (210236)")</f>
        <v>Набор из 24 шт, Циркуль ПИФАГОР пластиковый (210236)</v>
      </c>
      <c r="C54" s="1" t="str">
        <f ca="1">IFERROR(__xludf.dummyfunction("""COMPUTED_VALUE"""),"В наличии 150")</f>
        <v>В наличии 150</v>
      </c>
      <c r="D54" s="1">
        <f ca="1">IFERROR(__xludf.dummyfunction("""COMPUTED_VALUE"""),1032)</f>
        <v>1032</v>
      </c>
    </row>
    <row r="55" spans="1:4" ht="114">
      <c r="A55" s="1">
        <v>517890</v>
      </c>
      <c r="B55" s="10" t="str">
        <f ca="1">IFERROR(__xludf.dummyfunction("""COMPUTED_VALUE"""),"Набор из 240 шт, Карандаши чернографитные HB, НАБОР 12 штук STAFF ""Budget 
BLP-02"", с ластиком, 181923")</f>
        <v>Набор из 240 шт, Карандаши чернографитные HB, НАБОР 12 штук STAFF "Budget 
BLP-02", с ластиком, 181923</v>
      </c>
      <c r="C55" s="1" t="str">
        <f ca="1">IFERROR(__xludf.dummyfunction("""COMPUTED_VALUE"""),"В наличии 13")</f>
        <v>В наличии 13</v>
      </c>
      <c r="D55" s="1">
        <f ca="1">IFERROR(__xludf.dummyfunction("""COMPUTED_VALUE"""),13680)</f>
        <v>13680</v>
      </c>
    </row>
    <row r="56" spans="1:4" ht="128.25">
      <c r="A56" s="1">
        <v>518594</v>
      </c>
      <c r="B56" s="10" t="str">
        <f ca="1">IFERROR(__xludf.dummyfunction("""COMPUTED_VALUE"""),"Набор из 25 шт, Ластик ЮНЛАНДИЯ ""Юнландик-астронавт"", 57х22х14 мм, 
пластиковый футляр, ассорти, 229564")</f>
        <v>Набор из 25 шт, Ластик ЮНЛАНДИЯ "Юнландик-астронавт", 57х22х14 мм, 
пластиковый футляр, ассорти, 229564</v>
      </c>
      <c r="C56" s="1" t="str">
        <f ca="1">IFERROR(__xludf.dummyfunction("""COMPUTED_VALUE"""),"В наличии 2146")</f>
        <v>В наличии 2146</v>
      </c>
      <c r="D56" s="1">
        <f ca="1">IFERROR(__xludf.dummyfunction("""COMPUTED_VALUE"""),675)</f>
        <v>675</v>
      </c>
    </row>
    <row r="57" spans="1:4" ht="57">
      <c r="A57" s="1">
        <v>518655</v>
      </c>
      <c r="B57" s="10" t="str">
        <f ca="1">IFERROR(__xludf.dummyfunction("""COMPUTED_VALUE"""),"Набор из 25 шт, Линейка деревянная (210052)")</f>
        <v>Набор из 25 шт, Линейка деревянная (210052)</v>
      </c>
      <c r="C57" s="1" t="str">
        <f ca="1">IFERROR(__xludf.dummyfunction("""COMPUTED_VALUE"""),"В наличии 11")</f>
        <v>В наличии 11</v>
      </c>
      <c r="D57" s="1">
        <f ca="1">IFERROR(__xludf.dummyfunction("""COMPUTED_VALUE"""),475)</f>
        <v>475</v>
      </c>
    </row>
    <row r="58" spans="1:4" ht="57">
      <c r="A58" s="1">
        <v>518967</v>
      </c>
      <c r="B58" s="10" t="str">
        <f ca="1">IFERROR(__xludf.dummyfunction("""COMPUTED_VALUE"""),"Набор из 25 шт, Линейка деревянная (210148)")</f>
        <v>Набор из 25 шт, Линейка деревянная (210148)</v>
      </c>
      <c r="C58" s="1" t="str">
        <f ca="1">IFERROR(__xludf.dummyfunction("""COMPUTED_VALUE"""),"В наличии 506")</f>
        <v>В наличии 506</v>
      </c>
      <c r="D58" s="1">
        <f ca="1">IFERROR(__xludf.dummyfunction("""COMPUTED_VALUE"""),1025)</f>
        <v>1025</v>
      </c>
    </row>
    <row r="59" spans="1:4" ht="57">
      <c r="A59" s="1">
        <v>519085</v>
      </c>
      <c r="B59" s="10" t="str">
        <f ca="1">IFERROR(__xludf.dummyfunction("""COMPUTED_VALUE"""),"Набор из 25 шт, Ручка шариковая масляная PENSAN ""My-Pen"" (140657)")</f>
        <v>Набор из 25 шт, Ручка шариковая масляная PENSAN "My-Pen" (140657)</v>
      </c>
      <c r="C59" s="1" t="str">
        <f ca="1">IFERROR(__xludf.dummyfunction("""COMPUTED_VALUE"""),"В наличии 4521")</f>
        <v>В наличии 4521</v>
      </c>
      <c r="D59" s="1">
        <f ca="1">IFERROR(__xludf.dummyfunction("""COMPUTED_VALUE"""),500)</f>
        <v>500</v>
      </c>
    </row>
    <row r="60" spans="1:4" ht="114">
      <c r="A60" s="1">
        <v>519834</v>
      </c>
      <c r="B60" s="10" t="str">
        <f ca="1">IFERROR(__xludf.dummyfunction("""COMPUTED_VALUE"""),"Набор из 25 шт, Ручка шариковая масляная PENSAN ""My-Tech"", ЗЕЛЕНАЯ, 
игольчатый узел 0,7 мм, линия 0,35 мм, 2240/25")</f>
        <v>Набор из 25 шт, Ручка шариковая масляная PENSAN "My-Tech", ЗЕЛЕНАЯ, 
игольчатый узел 0,7 мм, линия 0,35 мм, 2240/25</v>
      </c>
      <c r="C60" s="1" t="str">
        <f ca="1">IFERROR(__xludf.dummyfunction("""COMPUTED_VALUE"""),"В наличии 271")</f>
        <v>В наличии 271</v>
      </c>
      <c r="D60" s="1">
        <f ca="1">IFERROR(__xludf.dummyfunction("""COMPUTED_VALUE"""),500)</f>
        <v>500</v>
      </c>
    </row>
    <row r="61" spans="1:4" ht="128.25">
      <c r="A61" s="1">
        <v>520933</v>
      </c>
      <c r="B61" s="10" t="str">
        <f ca="1">IFERROR(__xludf.dummyfunction("""COMPUTED_VALUE"""),"Набор из 25 шт, Ручка шариковая масляная PENSAN ""My-Tech"", КРАСНАЯ, 
игольчатый узел 0,7 мм, линия письма 0,35 мм, 2240/25")</f>
        <v>Набор из 25 шт, Ручка шариковая масляная PENSAN "My-Tech", КРАСНАЯ, 
игольчатый узел 0,7 мм, линия письма 0,35 мм, 2240/25</v>
      </c>
      <c r="C61" s="1" t="str">
        <f ca="1">IFERROR(__xludf.dummyfunction("""COMPUTED_VALUE"""),"В наличии 193")</f>
        <v>В наличии 193</v>
      </c>
      <c r="D61" s="1">
        <f ca="1">IFERROR(__xludf.dummyfunction("""COMPUTED_VALUE"""),475)</f>
        <v>475</v>
      </c>
    </row>
    <row r="62" spans="1:4" ht="128.25">
      <c r="A62" s="1">
        <v>521446</v>
      </c>
      <c r="B62" s="10" t="str">
        <f ca="1">IFERROR(__xludf.dummyfunction("""COMPUTED_VALUE"""),"Набор из 25 шт, Ручка шариковая масляная PENSAN ""My-Tech"", ЧЕРНАЯ, 
игольчатый узел 0,7 мм, линия письма 0,35 мм, 2240/25")</f>
        <v>Набор из 25 шт, Ручка шариковая масляная PENSAN "My-Tech", ЧЕРНАЯ, 
игольчатый узел 0,7 мм, линия письма 0,35 мм, 2240/25</v>
      </c>
      <c r="C62" s="1" t="str">
        <f ca="1">IFERROR(__xludf.dummyfunction("""COMPUTED_VALUE"""),"В наличии 3256")</f>
        <v>В наличии 3256</v>
      </c>
      <c r="D62" s="1">
        <f ca="1">IFERROR(__xludf.dummyfunction("""COMPUTED_VALUE"""),500)</f>
        <v>500</v>
      </c>
    </row>
    <row r="63" spans="1:4" ht="57">
      <c r="A63" s="1">
        <v>522088</v>
      </c>
      <c r="B63" s="10" t="str">
        <f ca="1">IFERROR(__xludf.dummyfunction("""COMPUTED_VALUE"""),"Набор из 25 шт, Ручка шариковая масляная СОЮЗ ""Tetra"" (141945)")</f>
        <v>Набор из 25 шт, Ручка шариковая масляная СОЮЗ "Tetra" (141945)</v>
      </c>
      <c r="C63" s="1" t="str">
        <f ca="1">IFERROR(__xludf.dummyfunction("""COMPUTED_VALUE"""),"В наличии 17")</f>
        <v>В наличии 17</v>
      </c>
      <c r="D63" s="1">
        <f ca="1">IFERROR(__xludf.dummyfunction("""COMPUTED_VALUE"""),800)</f>
        <v>800</v>
      </c>
    </row>
    <row r="64" spans="1:4" ht="57">
      <c r="A64" s="1">
        <v>529518</v>
      </c>
      <c r="B64" s="10" t="str">
        <f ca="1">IFERROR(__xludf.dummyfunction("""COMPUTED_VALUE"""),"Набор из 25 шт, Точилка MAPED (Франция) ""Shaker"" (224961)")</f>
        <v>Набор из 25 шт, Точилка MAPED (Франция) "Shaker" (224961)</v>
      </c>
      <c r="C64" s="1" t="str">
        <f ca="1">IFERROR(__xludf.dummyfunction("""COMPUTED_VALUE"""),"В наличии 2090")</f>
        <v>В наличии 2090</v>
      </c>
      <c r="D64" s="1">
        <f ca="1">IFERROR(__xludf.dummyfunction("""COMPUTED_VALUE"""),1275)</f>
        <v>1275</v>
      </c>
    </row>
    <row r="65" spans="1:4" ht="57">
      <c r="A65" s="1">
        <v>533537</v>
      </c>
      <c r="B65" s="10" t="str">
        <f ca="1">IFERROR(__xludf.dummyfunction("""COMPUTED_VALUE"""),"Набор из 25 шт, Треугольник деревянный (210153)")</f>
        <v>Набор из 25 шт, Треугольник деревянный (210153)</v>
      </c>
      <c r="C65" s="1" t="str">
        <f ca="1">IFERROR(__xludf.dummyfunction("""COMPUTED_VALUE"""),"В наличии 271")</f>
        <v>В наличии 271</v>
      </c>
      <c r="D65" s="1">
        <f ca="1">IFERROR(__xludf.dummyfunction("""COMPUTED_VALUE"""),1125)</f>
        <v>1125</v>
      </c>
    </row>
    <row r="66" spans="1:4" ht="57">
      <c r="A66" s="1">
        <v>534116</v>
      </c>
      <c r="B66" s="10" t="str">
        <f ca="1">IFERROR(__xludf.dummyfunction("""COMPUTED_VALUE"""),"Набор из 25 шт, Треугольник деревянный (210154)")</f>
        <v>Набор из 25 шт, Треугольник деревянный (210154)</v>
      </c>
      <c r="C66" s="1" t="str">
        <f ca="1">IFERROR(__xludf.dummyfunction("""COMPUTED_VALUE"""),"В наличии 205")</f>
        <v>В наличии 205</v>
      </c>
      <c r="D66" s="1">
        <f ca="1">IFERROR(__xludf.dummyfunction("""COMPUTED_VALUE"""),1025)</f>
        <v>1025</v>
      </c>
    </row>
    <row r="67" spans="1:4" ht="57">
      <c r="A67" s="1">
        <v>534513</v>
      </c>
      <c r="B67" s="10" t="str">
        <f ca="1">IFERROR(__xludf.dummyfunction("""COMPUTED_VALUE"""),"Набор из 25 шт, Треугольник деревянный (210155)")</f>
        <v>Набор из 25 шт, Треугольник деревянный (210155)</v>
      </c>
      <c r="C67" s="1" t="str">
        <f ca="1">IFERROR(__xludf.dummyfunction("""COMPUTED_VALUE"""),"В наличии 108")</f>
        <v>В наличии 108</v>
      </c>
      <c r="D67" s="1">
        <f ca="1">IFERROR(__xludf.dummyfunction("""COMPUTED_VALUE"""),800)</f>
        <v>800</v>
      </c>
    </row>
    <row r="68" spans="1:4" ht="57">
      <c r="A68" s="1">
        <v>535015</v>
      </c>
      <c r="B68" s="10" t="str">
        <f ca="1">IFERROR(__xludf.dummyfunction("""COMPUTED_VALUE"""),"Набор из 25 шт, Циркуль ПИФАГОР металлический (210600)")</f>
        <v>Набор из 25 шт, Циркуль ПИФАГОР металлический (210600)</v>
      </c>
      <c r="C68" s="1" t="str">
        <f ca="1">IFERROR(__xludf.dummyfunction("""COMPUTED_VALUE"""),"В наличии 213")</f>
        <v>В наличии 213</v>
      </c>
      <c r="D68" s="1">
        <f ca="1">IFERROR(__xludf.dummyfunction("""COMPUTED_VALUE"""),875)</f>
        <v>875</v>
      </c>
    </row>
    <row r="69" spans="1:4" ht="71.25">
      <c r="A69" s="1">
        <v>537096</v>
      </c>
      <c r="B69" s="10" t="str">
        <f ca="1">IFERROR(__xludf.dummyfunction("""COMPUTED_VALUE"""),"Набор из 27 шт, Резинка стирательная FACTIS F 127 (Испания) (228004)")</f>
        <v>Набор из 27 шт, Резинка стирательная FACTIS F 127 (Испания) (228004)</v>
      </c>
      <c r="C69" s="1" t="str">
        <f ca="1">IFERROR(__xludf.dummyfunction("""COMPUTED_VALUE"""),"В наличии 922")</f>
        <v>В наличии 922</v>
      </c>
      <c r="D69" s="1">
        <f ca="1">IFERROR(__xludf.dummyfunction("""COMPUTED_VALUE"""),783)</f>
        <v>783</v>
      </c>
    </row>
    <row r="70" spans="1:4" ht="71.25">
      <c r="A70" s="1">
        <v>540154</v>
      </c>
      <c r="B70" s="10" t="str">
        <f ca="1">IFERROR(__xludf.dummyfunction("""COMPUTED_VALUE"""),"Набор из 27 шт, Резинка стирательная KOH-I-NOOR ""Слон"" (224323)")</f>
        <v>Набор из 27 шт, Резинка стирательная KOH-I-NOOR "Слон" (224323)</v>
      </c>
      <c r="C70" s="1" t="str">
        <f ca="1">IFERROR(__xludf.dummyfunction("""COMPUTED_VALUE"""),"В наличии 432")</f>
        <v>В наличии 432</v>
      </c>
      <c r="D70" s="1">
        <f ca="1">IFERROR(__xludf.dummyfunction("""COMPUTED_VALUE"""),891)</f>
        <v>891</v>
      </c>
    </row>
    <row r="71" spans="1:4" ht="128.25">
      <c r="A71" s="1">
        <v>541200</v>
      </c>
      <c r="B71" s="10" t="str">
        <f ca="1">IFERROR(__xludf.dummyfunction("""COMPUTED_VALUE"""),"Набор из 28 шт, Карандаш с многоцветным грифелем МЯГКИЙ, 1 шт., ЮНЛАНДИЯ 
""MAGIC"", ассорти, пластиковая туба, 181788 (181788)")</f>
        <v>Набор из 28 шт, Карандаш с многоцветным грифелем МЯГКИЙ, 1 шт., ЮНЛАНДИЯ 
"MAGIC", ассорти, пластиковая туба, 181788 (181788)</v>
      </c>
      <c r="C71" s="1" t="str">
        <f ca="1">IFERROR(__xludf.dummyfunction("""COMPUTED_VALUE"""),"В наличии 691")</f>
        <v>В наличии 691</v>
      </c>
      <c r="D71" s="1">
        <f ca="1">IFERROR(__xludf.dummyfunction("""COMPUTED_VALUE"""),476)</f>
        <v>476</v>
      </c>
    </row>
    <row r="72" spans="1:4" ht="57">
      <c r="A72" s="1">
        <v>542347</v>
      </c>
      <c r="B72" s="10" t="str">
        <f ca="1">IFERROR(__xludf.dummyfunction("""COMPUTED_VALUE"""),"Набор из 3 шт, Готовальня BRAUBERG ""Architect"" (210659)")</f>
        <v>Набор из 3 шт, Готовальня BRAUBERG "Architect" (210659)</v>
      </c>
      <c r="C72" s="1" t="str">
        <f ca="1">IFERROR(__xludf.dummyfunction("""COMPUTED_VALUE"""),"В наличии 686")</f>
        <v>В наличии 686</v>
      </c>
      <c r="D72" s="1">
        <f ca="1">IFERROR(__xludf.dummyfunction("""COMPUTED_VALUE"""),1137)</f>
        <v>1137</v>
      </c>
    </row>
    <row r="73" spans="1:4" ht="114">
      <c r="A73" s="1">
        <v>542972</v>
      </c>
      <c r="B73" s="10" t="str">
        <f ca="1">IFERROR(__xludf.dummyfunction("""COMPUTED_VALUE"""),"Набор из 3 шт, Готовальня BRAUBERG ""Extra"", 3 предмета (циркуль 120 мм, 
точилка, грифель), в пенале, 210685 (210685)")</f>
        <v>Набор из 3 шт, Готовальня BRAUBERG "Extra", 3 предмета (циркуль 120 мм, 
точилка, грифель), в пенале, 210685 (210685)</v>
      </c>
      <c r="C73" s="1" t="str">
        <f ca="1">IFERROR(__xludf.dummyfunction("""COMPUTED_VALUE"""),"В наличии 1596")</f>
        <v>В наличии 1596</v>
      </c>
      <c r="D73" s="1">
        <f ca="1">IFERROR(__xludf.dummyfunction("""COMPUTED_VALUE"""),546)</f>
        <v>546</v>
      </c>
    </row>
    <row r="74" spans="1:4">
      <c r="A74" s="1">
        <v>544508</v>
      </c>
      <c r="B74" s="1" t="str">
        <f ca="1">IFERROR(__xludf.dummyfunction("IMPORTXML(getIdItems(""https://www.lustrof.ru/category/ofis/kanctovary/pismennye-i-chertezhnye-prinadlezhnosti/?page="",40),""//span[@class='products__item-info-name']"")"),"Набор из 3 шт, Готовальня BRAUBERG ""Extra"", 5 предметов (циркуль 120 мм, 
резинка, точилка, отвёртка, грифель), 210687 (210687)")</f>
        <v>Набор из 3 шт, Готовальня BRAUBERG "Extra", 5 предметов (циркуль 120 мм, 
резинка, точилка, отвёртка, грифель), 210687 (210687)</v>
      </c>
      <c r="C74" s="1" t="str">
        <f ca="1">IFERROR(__xludf.dummyfunction("IMPORTXML(getIdItems(""https://www.lustrof.ru/category/ofis/kanctovary/pismennye-i-chertezhnye-prinadlezhnosti/?page="",40),""//span[@class='products__available-in-stock']"")"),"В наличии 685")</f>
        <v>В наличии 685</v>
      </c>
      <c r="D74" s="1">
        <f ca="1">IFERROR(__xludf.dummyfunction("IMPORTXML(getIdItems(""https://www.lustrof.ru/category/ofis/kanctovary/pismennye-i-chertezhnye-prinadlezhnosti/?page="",40),""//span[@class='products__price-new']/text()"")"),684)</f>
        <v>684</v>
      </c>
    </row>
    <row r="75" spans="1:4" ht="57">
      <c r="A75" s="7">
        <v>544819</v>
      </c>
      <c r="B75" s="8" t="str">
        <f ca="1">IFERROR(__xludf.dummyfunction("""COMPUTED_VALUE"""),"Набор из 3 шт, Готовальня BRAUBERG ""Modern"" (210663)")</f>
        <v>Набор из 3 шт, Готовальня BRAUBERG "Modern" (210663)</v>
      </c>
      <c r="C75" s="7" t="str">
        <f ca="1">IFERROR(__xludf.dummyfunction("""COMPUTED_VALUE"""),"В наличии 2358")</f>
        <v>В наличии 2358</v>
      </c>
      <c r="D75" s="7">
        <f ca="1">IFERROR(__xludf.dummyfunction("""COMPUTED_VALUE"""),609)</f>
        <v>609</v>
      </c>
    </row>
    <row r="76" spans="1:4" ht="57">
      <c r="A76" s="1">
        <v>544958</v>
      </c>
      <c r="B76" s="10" t="str">
        <f ca="1">IFERROR(__xludf.dummyfunction("""COMPUTED_VALUE"""),"Набор из 3 шт, Готовальня BRAUBERG ""Modern"" (210664)")</f>
        <v>Набор из 3 шт, Готовальня BRAUBERG "Modern" (210664)</v>
      </c>
      <c r="C76" s="1" t="str">
        <f ca="1">IFERROR(__xludf.dummyfunction("""COMPUTED_VALUE"""),"В наличии 399")</f>
        <v>В наличии 399</v>
      </c>
      <c r="D76" s="1">
        <f ca="1">IFERROR(__xludf.dummyfunction("""COMPUTED_VALUE"""),660)</f>
        <v>660</v>
      </c>
    </row>
    <row r="77" spans="1:4" ht="71.25">
      <c r="A77" s="1">
        <v>545530</v>
      </c>
      <c r="B77" s="10" t="str">
        <f ca="1">IFERROR(__xludf.dummyfunction("""COMPUTED_VALUE"""),"Набор из 3 шт, Грифели для цангового карандаша KOH-I-NOOR (180332)")</f>
        <v>Набор из 3 шт, Грифели для цангового карандаша KOH-I-NOOR (180332)</v>
      </c>
      <c r="C77" s="1" t="str">
        <f ca="1">IFERROR(__xludf.dummyfunction("""COMPUTED_VALUE"""),"В наличии 79")</f>
        <v>В наличии 79</v>
      </c>
      <c r="D77" s="1">
        <f ca="1">IFERROR(__xludf.dummyfunction("""COMPUTED_VALUE"""),618)</f>
        <v>618</v>
      </c>
    </row>
    <row r="78" spans="1:4" ht="156.75">
      <c r="A78" s="1">
        <v>546864</v>
      </c>
      <c r="B78" s="10" t="str">
        <f ca="1">IFERROR(__xludf.dummyfunction("""COMPUTED_VALUE"""),"Набор из 3 шт, Карандаши акварельные ГАММА ""Лицей"", 18 цветов, заточенные, 
шестигранные, кисть, картонная упаковка, 221118_03 (181729)")</f>
        <v>Набор из 3 шт, Карандаши акварельные ГАММА "Лицей", 18 цветов, заточенные, 
шестигранные, кисть, картонная упаковка, 221118_03 (181729)</v>
      </c>
      <c r="C78" s="1" t="str">
        <f ca="1">IFERROR(__xludf.dummyfunction("""COMPUTED_VALUE"""),"В наличии 19")</f>
        <v>В наличии 19</v>
      </c>
      <c r="D78" s="1">
        <f ca="1">IFERROR(__xludf.dummyfunction("""COMPUTED_VALUE"""),1008)</f>
        <v>1008</v>
      </c>
    </row>
    <row r="79" spans="1:4" ht="156.75">
      <c r="A79" s="1">
        <v>547494</v>
      </c>
      <c r="B79" s="10" t="str">
        <f ca="1">IFERROR(__xludf.dummyfunction("""COMPUTED_VALUE"""),"Набор из 3 шт, Карандаши акварельные ГАММА ""Лицей"", 24 цвета, заточенные, 
шестигранные, кисть, картонная упаковка, 221118_04 (181730)")</f>
        <v>Набор из 3 шт, Карандаши акварельные ГАММА "Лицей", 24 цвета, заточенные, 
шестигранные, кисть, картонная упаковка, 221118_04 (181730)</v>
      </c>
      <c r="C79" s="1" t="str">
        <f ca="1">IFERROR(__xludf.dummyfunction("""COMPUTED_VALUE"""),"В наличии 8")</f>
        <v>В наличии 8</v>
      </c>
      <c r="D79" s="1">
        <f ca="1">IFERROR(__xludf.dummyfunction("""COMPUTED_VALUE"""),1335)</f>
        <v>1335</v>
      </c>
    </row>
    <row r="80" spans="1:4" ht="114">
      <c r="A80" s="1">
        <v>550293</v>
      </c>
      <c r="B80" s="10" t="str">
        <f ca="1">IFERROR(__xludf.dummyfunction("""COMPUTED_VALUE"""),"Набор из 3 шт, Карандаши художественные чернографитные 4H-8B, НАБОР 12 
штук, BRAUBERG ART ""CLASSIC"", 181542 (181542)")</f>
        <v>Набор из 3 шт, Карандаши художественные чернографитные 4H-8B, НАБОР 12 
штук, BRAUBERG ART "CLASSIC", 181542 (181542)</v>
      </c>
      <c r="C80" s="1" t="str">
        <f ca="1">IFERROR(__xludf.dummyfunction("""COMPUTED_VALUE"""),"В наличии 18586")</f>
        <v>В наличии 18586</v>
      </c>
      <c r="D80" s="1">
        <f ca="1">IFERROR(__xludf.dummyfunction("""COMPUTED_VALUE"""),504)</f>
        <v>504</v>
      </c>
    </row>
    <row r="81" spans="1:4" ht="142.5">
      <c r="A81" s="1">
        <v>550438</v>
      </c>
      <c r="B81" s="10" t="str">
        <f ca="1">IFERROR(__xludf.dummyfunction("""COMPUTED_VALUE"""),"Набор из 3 шт, Карандаши цветные BRAUBERG ""Black Jack"", 12 цв., 
трехгранные, черное дерево, заточенные, картонная упаковка (180834)")</f>
        <v>Набор из 3 шт, Карандаши цветные BRAUBERG "Black Jack", 12 цв., 
трехгранные, черное дерево, заточенные, картонная упаковка (180834)</v>
      </c>
      <c r="C81" s="1" t="str">
        <f ca="1">IFERROR(__xludf.dummyfunction("""COMPUTED_VALUE"""),"В наличии 252")</f>
        <v>В наличии 252</v>
      </c>
      <c r="D81" s="1">
        <f ca="1">IFERROR(__xludf.dummyfunction("""COMPUTED_VALUE"""),828)</f>
        <v>828</v>
      </c>
    </row>
    <row r="82" spans="1:4" ht="85.5">
      <c r="A82" s="1">
        <v>553115</v>
      </c>
      <c r="B82" s="10" t="str">
        <f ca="1">IFERROR(__xludf.dummyfunction("""COMPUTED_VALUE"""),"Набор из 3 шт, Карандаши цветные BRAUBERG ""InstaRacing"" (180559)")</f>
        <v>Набор из 3 шт, Карандаши цветные BRAUBERG "InstaRacing" (180559)</v>
      </c>
      <c r="C82" s="1" t="str">
        <f ca="1">IFERROR(__xludf.dummyfunction("""COMPUTED_VALUE"""),"В наличии 127")</f>
        <v>В наличии 127</v>
      </c>
      <c r="D82" s="1">
        <f ca="1">IFERROR(__xludf.dummyfunction("""COMPUTED_VALUE"""),612)</f>
        <v>612</v>
      </c>
    </row>
    <row r="83" spans="1:4" ht="71.25">
      <c r="A83" s="1">
        <v>554458</v>
      </c>
      <c r="B83" s="10" t="str">
        <f ca="1">IFERROR(__xludf.dummyfunction("""COMPUTED_VALUE"""),"Набор из 3 шт, Карандаши цветные BRAUBERG ""Rose Angel"" (180544)")</f>
        <v>Набор из 3 шт, Карандаши цветные BRAUBERG "Rose Angel" (180544)</v>
      </c>
      <c r="C83" s="1" t="str">
        <f ca="1">IFERROR(__xludf.dummyfunction("""COMPUTED_VALUE"""),"В наличии 403")</f>
        <v>В наличии 403</v>
      </c>
      <c r="D83" s="1">
        <f ca="1">IFERROR(__xludf.dummyfunction("""COMPUTED_VALUE"""),426)</f>
        <v>426</v>
      </c>
    </row>
    <row r="84" spans="1:4" ht="71.25">
      <c r="A84" s="1">
        <v>554746</v>
      </c>
      <c r="B84" s="10" t="str">
        <f ca="1">IFERROR(__xludf.dummyfunction("""COMPUTED_VALUE"""),"Набор из 3 шт, Карандаши цветные BRAUBERG ""Star Patrol"" (180543)")</f>
        <v>Набор из 3 шт, Карандаши цветные BRAUBERG "Star Patrol" (180543)</v>
      </c>
      <c r="C84" s="1" t="str">
        <f ca="1">IFERROR(__xludf.dummyfunction("""COMPUTED_VALUE"""),"В наличии 296")</f>
        <v>В наличии 296</v>
      </c>
      <c r="D84" s="1">
        <f ca="1">IFERROR(__xludf.dummyfunction("""COMPUTED_VALUE"""),426)</f>
        <v>426</v>
      </c>
    </row>
    <row r="85" spans="1:4" ht="85.5">
      <c r="A85" s="1">
        <v>554890</v>
      </c>
      <c r="B85" s="10" t="str">
        <f ca="1">IFERROR(__xludf.dummyfunction("""COMPUTED_VALUE"""),"Набор из 3 шт, Карандаши цветные BRAUBERG ""Морские легенды"" (180561)")</f>
        <v>Набор из 3 шт, Карандаши цветные BRAUBERG "Морские легенды" (180561)</v>
      </c>
      <c r="C85" s="1" t="str">
        <f ca="1">IFERROR(__xludf.dummyfunction("""COMPUTED_VALUE"""),"В наличии 383")</f>
        <v>В наличии 383</v>
      </c>
      <c r="D85" s="1">
        <f ca="1">IFERROR(__xludf.dummyfunction("""COMPUTED_VALUE"""),612)</f>
        <v>612</v>
      </c>
    </row>
    <row r="86" spans="1:4" ht="128.25">
      <c r="A86" s="1">
        <v>555508</v>
      </c>
      <c r="B86" s="10" t="str">
        <f ca="1">IFERROR(__xludf.dummyfunction("""COMPUTED_VALUE"""),"Набор из 3 шт, Карандаши цветные BRAUBERG NEON, 12 неоновых цветов, черное 
дерево, трёхгранные, 181852 (181852)")</f>
        <v>Набор из 3 шт, Карандаши цветные BRAUBERG NEON, 12 неоновых цветов, черное 
дерево, трёхгранные, 181852 (181852)</v>
      </c>
      <c r="C86" s="1" t="str">
        <f ca="1">IFERROR(__xludf.dummyfunction("""COMPUTED_VALUE"""),"В наличии 562")</f>
        <v>В наличии 562</v>
      </c>
      <c r="D86" s="1">
        <f ca="1">IFERROR(__xludf.dummyfunction("""COMPUTED_VALUE"""),381)</f>
        <v>381</v>
      </c>
    </row>
    <row r="87" spans="1:4" ht="71.25">
      <c r="A87" s="1">
        <v>558151</v>
      </c>
      <c r="B87" s="10" t="str">
        <f ca="1">IFERROR(__xludf.dummyfunction("""COMPUTED_VALUE"""),"Набор из 3 шт, Карандаши цветные JOVI (Испания) 12 цветов (181331)")</f>
        <v>Набор из 3 шт, Карандаши цветные JOVI (Испания) 12 цветов (181331)</v>
      </c>
      <c r="C87" s="1" t="str">
        <f ca="1">IFERROR(__xludf.dummyfunction("""COMPUTED_VALUE"""),"В наличии 2")</f>
        <v>В наличии 2</v>
      </c>
      <c r="D87" s="1">
        <f ca="1">IFERROR(__xludf.dummyfunction("""COMPUTED_VALUE"""),708)</f>
        <v>708</v>
      </c>
    </row>
    <row r="88" spans="1:4" ht="71.25">
      <c r="A88" s="1">
        <v>561759</v>
      </c>
      <c r="B88" s="10" t="str">
        <f ca="1">IFERROR(__xludf.dummyfunction("""COMPUTED_VALUE"""),"Набор из 3 шт, Карандаши цветные KOH-I-NOOR ""Animals"" (180317)")</f>
        <v>Набор из 3 шт, Карандаши цветные KOH-I-NOOR "Animals" (180317)</v>
      </c>
      <c r="C88" s="1" t="str">
        <f ca="1">IFERROR(__xludf.dummyfunction("""COMPUTED_VALUE"""),"В наличии 33")</f>
        <v>В наличии 33</v>
      </c>
      <c r="D88" s="1">
        <f ca="1">IFERROR(__xludf.dummyfunction("""COMPUTED_VALUE"""),1155)</f>
        <v>1155</v>
      </c>
    </row>
    <row r="89" spans="1:4" ht="128.25">
      <c r="A89" s="1">
        <v>562044</v>
      </c>
      <c r="B89" s="10" t="str">
        <f ca="1">IFERROR(__xludf.dummyfunction("""COMPUTED_VALUE"""),"Набор из 3 шт, Карандаши цветные STABILO ""Color"", 12 цветов, грифель 2,5 
мм, заточенные, картонный футляр, 1912-77, 1912/77-11 (181107)")</f>
        <v>Набор из 3 шт, Карандаши цветные STABILO "Color", 12 цветов, грифель 2,5 
мм, заточенные, картонный футляр, 1912-77, 1912/77-11 (181107)</v>
      </c>
      <c r="C89" s="1" t="str">
        <f ca="1">IFERROR(__xludf.dummyfunction("""COMPUTED_VALUE"""),"В наличии 13")</f>
        <v>В наличии 13</v>
      </c>
      <c r="D89" s="1">
        <f ca="1">IFERROR(__xludf.dummyfunction("""COMPUTED_VALUE"""),1317)</f>
        <v>1317</v>
      </c>
    </row>
    <row r="90" spans="1:4" ht="99.75">
      <c r="A90" s="1">
        <v>564356</v>
      </c>
      <c r="B90" s="10" t="str">
        <f ca="1">IFERROR(__xludf.dummyfunction("""COMPUTED_VALUE"""),"Набор из 3 шт, Карандаши цветные акварельные BRAUBERG ""АКАДЕМИЯ"" (181400)")</f>
        <v>Набор из 3 шт, Карандаши цветные акварельные BRAUBERG "АКАДЕМИЯ" (181400)</v>
      </c>
      <c r="C90" s="1" t="str">
        <f ca="1">IFERROR(__xludf.dummyfunction("""COMPUTED_VALUE"""),"В наличии 437")</f>
        <v>В наличии 437</v>
      </c>
      <c r="D90" s="1">
        <f ca="1">IFERROR(__xludf.dummyfunction("""COMPUTED_VALUE"""),936)</f>
        <v>936</v>
      </c>
    </row>
    <row r="91" spans="1:4" ht="99.75">
      <c r="A91" s="1">
        <v>564379</v>
      </c>
      <c r="B91" s="10" t="str">
        <f ca="1">IFERROR(__xludf.dummyfunction("""COMPUTED_VALUE"""),"Набор из 3 шт, Карандаши цветные акварельные BRUNO VISCONTI ""Aquarelle"" 
(181438)")</f>
        <v>Набор из 3 шт, Карандаши цветные акварельные BRUNO VISCONTI "Aquarelle" 
(181438)</v>
      </c>
      <c r="C91" s="1" t="str">
        <f ca="1">IFERROR(__xludf.dummyfunction("""COMPUTED_VALUE"""),"В наличии 178")</f>
        <v>В наличии 178</v>
      </c>
      <c r="D91" s="1">
        <f ca="1">IFERROR(__xludf.dummyfunction("""COMPUTED_VALUE"""),1083)</f>
        <v>1083</v>
      </c>
    </row>
    <row r="92" spans="1:4" ht="114">
      <c r="A92" s="1">
        <v>565872</v>
      </c>
      <c r="B92" s="10" t="str">
        <f ca="1">IFERROR(__xludf.dummyfunction("""COMPUTED_VALUE"""),"Набор из 3 шт, Карандаши цветные акварельные ЮНЛАНДИЯ ""ЮНЫЙ ВОЛШЕБНИК"" 
(181404)")</f>
        <v>Набор из 3 шт, Карандаши цветные акварельные ЮНЛАНДИЯ "ЮНЫЙ ВОЛШЕБНИК" 
(181404)</v>
      </c>
      <c r="C92" s="1" t="str">
        <f ca="1">IFERROR(__xludf.dummyfunction("""COMPUTED_VALUE"""),"В наличии 3477")</f>
        <v>В наличии 3477</v>
      </c>
      <c r="D92" s="1">
        <f ca="1">IFERROR(__xludf.dummyfunction("""COMPUTED_VALUE"""),891)</f>
        <v>891</v>
      </c>
    </row>
    <row r="93" spans="1:4" ht="71.25">
      <c r="A93" s="1">
        <v>568181</v>
      </c>
      <c r="B93" s="10" t="str">
        <f ca="1">IFERROR(__xludf.dummyfunction("""COMPUTED_VALUE"""),"Набор из 3 шт, Карандаши цветные ГАММА ""Мультики"" (181471)")</f>
        <v>Набор из 3 шт, Карандаши цветные ГАММА "Мультики" (181471)</v>
      </c>
      <c r="C93" s="1" t="str">
        <f ca="1">IFERROR(__xludf.dummyfunction("""COMPUTED_VALUE"""),"В наличии 43")</f>
        <v>В наличии 43</v>
      </c>
      <c r="D93" s="1">
        <f ca="1">IFERROR(__xludf.dummyfunction("""COMPUTED_VALUE"""),861)</f>
        <v>861</v>
      </c>
    </row>
    <row r="94" spans="1:4" ht="171">
      <c r="A94" s="1">
        <v>568486</v>
      </c>
      <c r="B94" s="10" t="str">
        <f ca="1">IFERROR(__xludf.dummyfunction("""COMPUTED_VALUE"""),"Набор из 3 шт, Карандаши цветные ГАММА ''Классические'', 24 цвета, 
заточенные, шестигранные, картонная упаковка, 05091804, 050918_04 (181476)")</f>
        <v>Набор из 3 шт, Карандаши цветные ГАММА ''Классические'', 24 цвета, 
заточенные, шестигранные, картонная упаковка, 05091804, 050918_04 (181476)</v>
      </c>
      <c r="C94" s="1" t="str">
        <f ca="1">IFERROR(__xludf.dummyfunction("""COMPUTED_VALUE"""),"В наличии 5")</f>
        <v>В наличии 5</v>
      </c>
      <c r="D94" s="1">
        <f ca="1">IFERROR(__xludf.dummyfunction("""COMPUTED_VALUE"""),909)</f>
        <v>909</v>
      </c>
    </row>
    <row r="95" spans="1:4" ht="128.25">
      <c r="A95" s="1">
        <v>568820</v>
      </c>
      <c r="B95" s="10" t="str">
        <f ca="1">IFERROR(__xludf.dummyfunction("""COMPUTED_VALUE"""),"Набор из 3 шт, Карандаши цветные мягкие BRAUBERG АКАДЕМИЯ, 24 цвета, 
шестигранные, грифель 3 мм, 181866 (181866)")</f>
        <v>Набор из 3 шт, Карандаши цветные мягкие BRAUBERG АКАДЕМИЯ, 24 цвета, 
шестигранные, грифель 3 мм, 181866 (181866)</v>
      </c>
      <c r="C95" s="1" t="str">
        <f ca="1">IFERROR(__xludf.dummyfunction("""COMPUTED_VALUE"""),"В наличии 8412")</f>
        <v>В наличии 8412</v>
      </c>
      <c r="D95" s="1">
        <f ca="1">IFERROR(__xludf.dummyfunction("""COMPUTED_VALUE"""),480)</f>
        <v>480</v>
      </c>
    </row>
    <row r="96" spans="1:4" ht="142.5">
      <c r="A96" s="1">
        <v>571623</v>
      </c>
      <c r="B96" s="10" t="str">
        <f ca="1">IFERROR(__xludf.dummyfunction("""COMPUTED_VALUE"""),"Набор из 3 шт, Карандаши цветные мягкие ЮНЛАНДИЯ ""ЗАБАВНЫЕ КАРТИНКИ"", 24 
цвета, классические, заточенные, 181645")</f>
        <v>Набор из 3 шт, Карандаши цветные мягкие ЮНЛАНДИЯ "ЗАБАВНЫЕ КАРТИНКИ", 24 
цвета, классические, заточенные, 181645</v>
      </c>
      <c r="C96" s="1" t="str">
        <f ca="1">IFERROR(__xludf.dummyfunction("""COMPUTED_VALUE"""),"В наличии 1836")</f>
        <v>В наличии 1836</v>
      </c>
      <c r="D96" s="1">
        <f ca="1">IFERROR(__xludf.dummyfunction("""COMPUTED_VALUE"""),708)</f>
        <v>708</v>
      </c>
    </row>
    <row r="97" spans="1:4" ht="128.25">
      <c r="A97" s="1">
        <v>572120</v>
      </c>
      <c r="B97" s="10" t="str">
        <f ca="1">IFERROR(__xludf.dummyfunction("""COMPUTED_VALUE"""),"Набор из 3 шт, Карандаши цветные мягкие ЮНЛАНДИЯ ""ЮНЛАНДИК В ДЖУНГЛЯХ"", 12 
цветов, металлический пенал, 181689")</f>
        <v>Набор из 3 шт, Карандаши цветные мягкие ЮНЛАНДИЯ "ЮНЛАНДИК В ДЖУНГЛЯХ", 12 
цветов, металлический пенал, 181689</v>
      </c>
      <c r="C97" s="1" t="str">
        <f ca="1">IFERROR(__xludf.dummyfunction("""COMPUTED_VALUE"""),"В наличии 893")</f>
        <v>В наличии 893</v>
      </c>
      <c r="D97" s="1">
        <f ca="1">IFERROR(__xludf.dummyfunction("""COMPUTED_VALUE"""),729)</f>
        <v>729</v>
      </c>
    </row>
    <row r="98" spans="1:4" ht="85.5">
      <c r="A98" s="1">
        <v>572403</v>
      </c>
      <c r="B98" s="10" t="str">
        <f ca="1">IFERROR(__xludf.dummyfunction("""COMPUTED_VALUE"""),"Набор из 3 шт, Карандаши цветные ПИФАГОР ""БАБОЧКИ"" (181354)")</f>
        <v>Набор из 3 шт, Карандаши цветные ПИФАГОР "БАБОЧКИ" (181354)</v>
      </c>
      <c r="C98" s="1" t="str">
        <f ca="1">IFERROR(__xludf.dummyfunction("""COMPUTED_VALUE"""),"В наличии 18")</f>
        <v>В наличии 18</v>
      </c>
      <c r="D98" s="1">
        <f ca="1">IFERROR(__xludf.dummyfunction("""COMPUTED_VALUE"""),507)</f>
        <v>507</v>
      </c>
    </row>
    <row r="99" spans="1:4" ht="114">
      <c r="A99" s="1">
        <v>573679</v>
      </c>
      <c r="B99" s="10" t="str">
        <f ca="1">IFERROR(__xludf.dummyfunction("""COMPUTED_VALUE"""),"Набор из 3 шт, Карандаши цветные стираемые с резинкой 12 ЦВЕТОВ BIC ""Kids 
Evolution Illusion"", круглые, 987868")</f>
        <v>Набор из 3 шт, Карандаши цветные стираемые с резинкой 12 ЦВЕТОВ BIC "Kids 
Evolution Illusion", круглые, 987868</v>
      </c>
      <c r="C99" s="1" t="str">
        <f ca="1">IFERROR(__xludf.dummyfunction("""COMPUTED_VALUE"""),"В наличии 124")</f>
        <v>В наличии 124</v>
      </c>
      <c r="D99" s="1">
        <f ca="1">IFERROR(__xludf.dummyfunction("""COMPUTED_VALUE"""),1131)</f>
        <v>1131</v>
      </c>
    </row>
    <row r="100" spans="1:4" ht="142.5">
      <c r="A100" s="1">
        <v>574641</v>
      </c>
      <c r="B100" s="10" t="str">
        <f ca="1">IFERROR(__xludf.dummyfunction("""COMPUTED_VALUE"""),"Набор из 3 шт, Карандаши цветные супермягкие ЮНЛАНДИЯ ""ЭКЗОТИКА"", 24 цвета, 
трехгранные, с раскраской, 181649")</f>
        <v>Набор из 3 шт, Карандаши цветные супермягкие ЮНЛАНДИЯ "ЭКЗОТИКА", 24 цвета, 
трехгранные, с раскраской, 181649</v>
      </c>
      <c r="C100" s="1" t="str">
        <f ca="1">IFERROR(__xludf.dummyfunction("""COMPUTED_VALUE"""),"В наличии 1409")</f>
        <v>В наличии 1409</v>
      </c>
      <c r="D100" s="1">
        <f ca="1">IFERROR(__xludf.dummyfunction("""COMPUTED_VALUE"""),708)</f>
        <v>708</v>
      </c>
    </row>
    <row r="101" spans="1:4" ht="128.25">
      <c r="A101" s="1">
        <v>575867</v>
      </c>
      <c r="B101" s="10" t="str">
        <f ca="1">IFERROR(__xludf.dummyfunction("""COMPUTED_VALUE"""),"Набор из 3 шт, Карандаши цветные утолщенные BRAUBERG, 12 цветов, 
трехгранные, картонная упаковка (180836)")</f>
        <v>Набор из 3 шт, Карандаши цветные утолщенные BRAUBERG, 12 цветов, 
трехгранные, картонная упаковка (180836)</v>
      </c>
      <c r="C101" s="1" t="str">
        <f ca="1">IFERROR(__xludf.dummyfunction("""COMPUTED_VALUE"""),"В наличии 131")</f>
        <v>В наличии 131</v>
      </c>
      <c r="D101" s="1">
        <f ca="1">IFERROR(__xludf.dummyfunction("""COMPUTED_VALUE"""),705)</f>
        <v>705</v>
      </c>
    </row>
    <row r="102" spans="1:4" ht="114">
      <c r="A102" s="1">
        <v>577764</v>
      </c>
      <c r="B102" s="10" t="str">
        <f ca="1">IFERROR(__xludf.dummyfunction("""COMPUTED_VALUE"""),"Набор из 3 шт, Карандаши цветные утолщенные ЮНЛАНДИЯ ""СКАЗОЧНЫЙ МИР"" 
(181370)")</f>
        <v>Набор из 3 шт, Карандаши цветные утолщенные ЮНЛАНДИЯ "СКАЗОЧНЫЙ МИР" 
(181370)</v>
      </c>
      <c r="C102" s="1" t="str">
        <f ca="1">IFERROR(__xludf.dummyfunction("""COMPUTED_VALUE"""),"В наличии 1209")</f>
        <v>В наличии 1209</v>
      </c>
      <c r="D102" s="1">
        <f ca="1">IFERROR(__xludf.dummyfunction("""COMPUTED_VALUE"""),705)</f>
        <v>705</v>
      </c>
    </row>
    <row r="103" spans="1:4" ht="85.5">
      <c r="A103" s="1">
        <v>578607</v>
      </c>
      <c r="B103" s="10" t="str">
        <f ca="1">IFERROR(__xludf.dummyfunction("""COMPUTED_VALUE"""),"Набор из 3 шт, Карандаши цветные ЮНЛАНДИЯ ""МИР ЖИВОТНЫХ"" (181386)")</f>
        <v>Набор из 3 шт, Карандаши цветные ЮНЛАНДИЯ "МИР ЖИВОТНЫХ" (181386)</v>
      </c>
      <c r="C103" s="1" t="str">
        <f ca="1">IFERROR(__xludf.dummyfunction("""COMPUTED_VALUE"""),"В наличии 7")</f>
        <v>В наличии 7</v>
      </c>
      <c r="D103" s="1">
        <f ca="1">IFERROR(__xludf.dummyfunction("""COMPUTED_VALUE"""),477)</f>
        <v>477</v>
      </c>
    </row>
    <row r="104" spans="1:4" ht="99.75">
      <c r="A104" s="1">
        <v>579672</v>
      </c>
      <c r="B104" s="10" t="str">
        <f ca="1">IFERROR(__xludf.dummyfunction("""COMPUTED_VALUE"""),"Набор из 3 шт, Карандаши цветные ЮНЛАНДИЯ ""СЛАДКИЕ ИСТОРИИ"" (181395)")</f>
        <v>Набор из 3 шт, Карандаши цветные ЮНЛАНДИЯ "СЛАДКИЕ ИСТОРИИ" (181395)</v>
      </c>
      <c r="C104" s="1" t="str">
        <f ca="1">IFERROR(__xludf.dummyfunction("""COMPUTED_VALUE"""),"В наличии 241")</f>
        <v>В наличии 241</v>
      </c>
      <c r="D104" s="1">
        <f ca="1">IFERROR(__xludf.dummyfunction("""COMPUTED_VALUE"""),639)</f>
        <v>639</v>
      </c>
    </row>
    <row r="105" spans="1:4" ht="99.75">
      <c r="A105" s="1">
        <v>583085</v>
      </c>
      <c r="B105" s="10" t="str">
        <f ca="1">IFERROR(__xludf.dummyfunction("""COMPUTED_VALUE"""),"Набор из 3 шт, Карандаши цветные ЮНЛАНДИЯ ""СЛАДКИЕ ИСТОРИИ"" (181396)")</f>
        <v>Набор из 3 шт, Карандаши цветные ЮНЛАНДИЯ "СЛАДКИЕ ИСТОРИИ" (181396)</v>
      </c>
      <c r="C105" s="1" t="str">
        <f ca="1">IFERROR(__xludf.dummyfunction("""COMPUTED_VALUE"""),"В наличии 187")</f>
        <v>В наличии 187</v>
      </c>
      <c r="D105" s="1">
        <f ca="1">IFERROR(__xludf.dummyfunction("""COMPUTED_VALUE"""),660)</f>
        <v>660</v>
      </c>
    </row>
    <row r="106" spans="1:4" ht="142.5">
      <c r="A106" s="1">
        <v>587464</v>
      </c>
      <c r="B106" s="10" t="str">
        <f ca="1">IFERROR(__xludf.dummyfunction("""COMPUTED_VALUE"""),"Набор из 3 шт, Карандаши чернографитные простые с ластиком HB, ВЫГОДНАЯ 
УПАКОВКА КОМПЛЕКТ 30 штук, STAFF, 181881 (181881)")</f>
        <v>Набор из 3 шт, Карандаши чернографитные простые с ластиком HB, ВЫГОДНАЯ 
УПАКОВКА КОМПЛЕКТ 30 штук, STAFF, 181881 (181881)</v>
      </c>
      <c r="C106" s="1" t="str">
        <f ca="1">IFERROR(__xludf.dummyfunction("""COMPUTED_VALUE"""),"В наличии 3149")</f>
        <v>В наличии 3149</v>
      </c>
      <c r="D106" s="1">
        <f ca="1">IFERROR(__xludf.dummyfunction("""COMPUTED_VALUE"""),522)</f>
        <v>522</v>
      </c>
    </row>
    <row r="107" spans="1:4" ht="128.25">
      <c r="A107" s="1">
        <v>587914</v>
      </c>
      <c r="B107" s="10" t="str">
        <f ca="1">IFERROR(__xludf.dummyfunction("""COMPUTED_VALUE"""),"Набор из 3 шт, Ластики BRAUBERG ""Pastel Soft"" НАБОР 12 шт., размер ластика 
31х20х10 мм, экологичный ПВХ, 229598")</f>
        <v>Набор из 3 шт, Ластики BRAUBERG "Pastel Soft" НАБОР 12 шт., размер ластика 
31х20х10 мм, экологичный ПВХ, 229598</v>
      </c>
      <c r="C107" s="1" t="str">
        <f ca="1">IFERROR(__xludf.dummyfunction("""COMPUTED_VALUE"""),"В наличии 8594")</f>
        <v>В наличии 8594</v>
      </c>
      <c r="D107" s="1">
        <f ca="1">IFERROR(__xludf.dummyfunction("""COMPUTED_VALUE"""),459)</f>
        <v>459</v>
      </c>
    </row>
    <row r="108" spans="1:4" ht="57">
      <c r="A108" s="1">
        <v>588036</v>
      </c>
      <c r="B108" s="10" t="str">
        <f ca="1">IFERROR(__xludf.dummyfunction("""COMPUTED_VALUE"""),"Набор из 3 шт, Линейка с роликом (рейсшина) 30 см (210278)")</f>
        <v>Набор из 3 шт, Линейка с роликом (рейсшина) 30 см (210278)</v>
      </c>
      <c r="C108" s="1" t="str">
        <f ca="1">IFERROR(__xludf.dummyfunction("""COMPUTED_VALUE"""),"В наличии 814")</f>
        <v>В наличии 814</v>
      </c>
      <c r="D108" s="1">
        <f ca="1">IFERROR(__xludf.dummyfunction("""COMPUTED_VALUE"""),435)</f>
        <v>435</v>
      </c>
    </row>
    <row r="109" spans="1:4" ht="71.25">
      <c r="A109" s="1">
        <v>598615</v>
      </c>
      <c r="B109" s="10" t="str">
        <f ca="1">IFERROR(__xludf.dummyfunction("""COMPUTED_VALUE"""),"Набор из 3 шт, Маркер аэрокосмический EDDING 8404 (150726)")</f>
        <v>Набор из 3 шт, Маркер аэрокосмический EDDING 8404 (150726)</v>
      </c>
      <c r="C109" s="1" t="str">
        <f ca="1">IFERROR(__xludf.dummyfunction("""COMPUTED_VALUE"""),"В наличии 14")</f>
        <v>В наличии 14</v>
      </c>
      <c r="D109" s="1">
        <f ca="1">IFERROR(__xludf.dummyfunction("""COMPUTED_VALUE"""),885)</f>
        <v>885</v>
      </c>
    </row>
    <row r="110" spans="1:4">
      <c r="B110" s="10"/>
    </row>
    <row r="111" spans="1:4">
      <c r="B111" s="10"/>
    </row>
    <row r="112" spans="1:4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  <row r="153" spans="2:2">
      <c r="B153" s="10"/>
    </row>
    <row r="154" spans="2:2">
      <c r="B154" s="10"/>
    </row>
    <row r="155" spans="2:2">
      <c r="B155" s="10"/>
    </row>
    <row r="156" spans="2:2">
      <c r="B156" s="10"/>
    </row>
    <row r="157" spans="2:2">
      <c r="B157" s="10"/>
    </row>
    <row r="158" spans="2:2">
      <c r="B158" s="10"/>
    </row>
    <row r="159" spans="2:2">
      <c r="B159" s="10"/>
    </row>
    <row r="160" spans="2:2">
      <c r="B160" s="10"/>
    </row>
    <row r="161" spans="2:2">
      <c r="B161" s="10"/>
    </row>
    <row r="162" spans="2:2">
      <c r="B162" s="10"/>
    </row>
    <row r="163" spans="2:2">
      <c r="B163" s="10"/>
    </row>
    <row r="164" spans="2:2">
      <c r="B164" s="10"/>
    </row>
    <row r="165" spans="2:2">
      <c r="B165" s="10"/>
    </row>
    <row r="166" spans="2:2">
      <c r="B166" s="10"/>
    </row>
    <row r="167" spans="2:2">
      <c r="B167" s="10"/>
    </row>
    <row r="168" spans="2:2">
      <c r="B168" s="10"/>
    </row>
    <row r="169" spans="2:2">
      <c r="B169" s="10"/>
    </row>
    <row r="170" spans="2:2">
      <c r="B170" s="10"/>
    </row>
    <row r="171" spans="2:2">
      <c r="B171" s="10"/>
    </row>
    <row r="172" spans="2:2">
      <c r="B172" s="10"/>
    </row>
    <row r="173" spans="2:2">
      <c r="B173" s="10"/>
    </row>
    <row r="174" spans="2:2">
      <c r="B174" s="10"/>
    </row>
    <row r="175" spans="2:2">
      <c r="B175" s="10"/>
    </row>
    <row r="176" spans="2:2">
      <c r="B176" s="10"/>
    </row>
    <row r="177" spans="2:2">
      <c r="B177" s="10"/>
    </row>
    <row r="178" spans="2:2">
      <c r="B178" s="10"/>
    </row>
    <row r="179" spans="2:2">
      <c r="B179" s="10"/>
    </row>
    <row r="180" spans="2:2">
      <c r="B180" s="10"/>
    </row>
    <row r="181" spans="2:2">
      <c r="B181" s="10"/>
    </row>
    <row r="182" spans="2:2">
      <c r="B182" s="10"/>
    </row>
    <row r="183" spans="2:2">
      <c r="B183" s="10"/>
    </row>
    <row r="184" spans="2:2">
      <c r="B184" s="10"/>
    </row>
    <row r="185" spans="2:2">
      <c r="B185" s="10"/>
    </row>
    <row r="186" spans="2:2">
      <c r="B186" s="10"/>
    </row>
    <row r="187" spans="2:2">
      <c r="B187" s="10"/>
    </row>
    <row r="188" spans="2:2">
      <c r="B188" s="10"/>
    </row>
    <row r="189" spans="2:2">
      <c r="B189" s="10"/>
    </row>
    <row r="190" spans="2:2">
      <c r="B190" s="10"/>
    </row>
    <row r="191" spans="2:2">
      <c r="B191" s="10"/>
    </row>
    <row r="192" spans="2:2">
      <c r="B192" s="10"/>
    </row>
    <row r="193" spans="2:2">
      <c r="B193" s="10"/>
    </row>
    <row r="194" spans="2:2">
      <c r="B194" s="10"/>
    </row>
    <row r="195" spans="2:2">
      <c r="B195" s="10"/>
    </row>
    <row r="196" spans="2:2">
      <c r="B196" s="10"/>
    </row>
    <row r="197" spans="2:2">
      <c r="B197" s="10"/>
    </row>
    <row r="198" spans="2:2">
      <c r="B198" s="10"/>
    </row>
    <row r="199" spans="2:2">
      <c r="B199" s="10"/>
    </row>
    <row r="200" spans="2:2">
      <c r="B200" s="10"/>
    </row>
    <row r="201" spans="2:2">
      <c r="B201" s="10"/>
    </row>
    <row r="202" spans="2:2">
      <c r="B202" s="10"/>
    </row>
    <row r="203" spans="2:2">
      <c r="B203" s="10"/>
    </row>
    <row r="204" spans="2:2">
      <c r="B204" s="10"/>
    </row>
    <row r="205" spans="2:2">
      <c r="B205" s="10"/>
    </row>
    <row r="206" spans="2:2">
      <c r="B206" s="10"/>
    </row>
    <row r="207" spans="2:2">
      <c r="B207" s="10"/>
    </row>
    <row r="208" spans="2:2">
      <c r="B208" s="10"/>
    </row>
    <row r="209" spans="2:2">
      <c r="B209" s="10"/>
    </row>
    <row r="210" spans="2:2">
      <c r="B210" s="10"/>
    </row>
    <row r="211" spans="2:2">
      <c r="B211" s="10"/>
    </row>
    <row r="212" spans="2:2">
      <c r="B212" s="10"/>
    </row>
    <row r="213" spans="2:2">
      <c r="B213" s="10"/>
    </row>
    <row r="214" spans="2:2">
      <c r="B214" s="10"/>
    </row>
    <row r="215" spans="2:2">
      <c r="B215" s="10"/>
    </row>
    <row r="216" spans="2:2">
      <c r="B216" s="10"/>
    </row>
    <row r="217" spans="2:2">
      <c r="B217" s="10"/>
    </row>
    <row r="218" spans="2:2">
      <c r="B218" s="10"/>
    </row>
    <row r="219" spans="2:2">
      <c r="B219" s="10"/>
    </row>
    <row r="220" spans="2:2">
      <c r="B220" s="10"/>
    </row>
    <row r="221" spans="2:2">
      <c r="B221" s="10"/>
    </row>
    <row r="222" spans="2:2">
      <c r="B222" s="10"/>
    </row>
    <row r="223" spans="2:2">
      <c r="B223" s="10"/>
    </row>
    <row r="224" spans="2:2">
      <c r="B224" s="10"/>
    </row>
    <row r="225" spans="2:2">
      <c r="B225" s="10"/>
    </row>
    <row r="226" spans="2:2">
      <c r="B226" s="10"/>
    </row>
    <row r="227" spans="2:2">
      <c r="B227" s="10"/>
    </row>
    <row r="228" spans="2:2">
      <c r="B228" s="10"/>
    </row>
    <row r="229" spans="2:2">
      <c r="B229" s="10"/>
    </row>
    <row r="230" spans="2:2">
      <c r="B230" s="10"/>
    </row>
    <row r="231" spans="2:2">
      <c r="B231" s="10"/>
    </row>
    <row r="232" spans="2:2">
      <c r="B232" s="10"/>
    </row>
    <row r="233" spans="2:2">
      <c r="B233" s="10"/>
    </row>
    <row r="234" spans="2:2">
      <c r="B234" s="10"/>
    </row>
    <row r="235" spans="2:2">
      <c r="B235" s="10"/>
    </row>
    <row r="236" spans="2:2">
      <c r="B236" s="10"/>
    </row>
    <row r="237" spans="2:2">
      <c r="B237" s="10"/>
    </row>
    <row r="238" spans="2:2">
      <c r="B238" s="10"/>
    </row>
    <row r="239" spans="2:2">
      <c r="B239" s="10"/>
    </row>
    <row r="240" spans="2:2">
      <c r="B240" s="10"/>
    </row>
    <row r="241" spans="2:2">
      <c r="B241" s="10"/>
    </row>
    <row r="242" spans="2:2">
      <c r="B242" s="10"/>
    </row>
    <row r="243" spans="2:2">
      <c r="B243" s="10"/>
    </row>
    <row r="244" spans="2:2">
      <c r="B244" s="10"/>
    </row>
    <row r="245" spans="2:2">
      <c r="B245" s="10"/>
    </row>
    <row r="246" spans="2:2">
      <c r="B246" s="10"/>
    </row>
    <row r="247" spans="2:2">
      <c r="B247" s="10"/>
    </row>
    <row r="248" spans="2:2">
      <c r="B248" s="10"/>
    </row>
    <row r="249" spans="2:2">
      <c r="B249" s="10"/>
    </row>
    <row r="250" spans="2:2">
      <c r="B250" s="10"/>
    </row>
    <row r="251" spans="2:2">
      <c r="B251" s="10"/>
    </row>
    <row r="252" spans="2:2">
      <c r="B252" s="10"/>
    </row>
    <row r="253" spans="2:2">
      <c r="B253" s="10"/>
    </row>
    <row r="254" spans="2:2">
      <c r="B254" s="10"/>
    </row>
    <row r="255" spans="2:2">
      <c r="B255" s="10"/>
    </row>
    <row r="256" spans="2:2">
      <c r="B256" s="10"/>
    </row>
    <row r="257" spans="2:2">
      <c r="B257" s="10"/>
    </row>
    <row r="258" spans="2:2">
      <c r="B258" s="10"/>
    </row>
    <row r="259" spans="2:2">
      <c r="B259" s="10"/>
    </row>
    <row r="260" spans="2:2">
      <c r="B260" s="10"/>
    </row>
    <row r="261" spans="2:2">
      <c r="B261" s="10"/>
    </row>
    <row r="262" spans="2:2">
      <c r="B262" s="10"/>
    </row>
    <row r="263" spans="2:2">
      <c r="B263" s="10"/>
    </row>
    <row r="264" spans="2:2">
      <c r="B264" s="10"/>
    </row>
    <row r="265" spans="2:2">
      <c r="B265" s="10"/>
    </row>
    <row r="266" spans="2:2">
      <c r="B266" s="10"/>
    </row>
    <row r="267" spans="2:2">
      <c r="B267" s="10"/>
    </row>
    <row r="268" spans="2:2">
      <c r="B268" s="10"/>
    </row>
    <row r="269" spans="2:2">
      <c r="B269" s="10"/>
    </row>
    <row r="270" spans="2:2">
      <c r="B270" s="10"/>
    </row>
    <row r="271" spans="2:2">
      <c r="B271" s="10"/>
    </row>
    <row r="272" spans="2:2">
      <c r="B272" s="10"/>
    </row>
    <row r="273" spans="2:2">
      <c r="B273" s="10"/>
    </row>
    <row r="274" spans="2:2">
      <c r="B274" s="10"/>
    </row>
    <row r="275" spans="2:2">
      <c r="B275" s="10"/>
    </row>
    <row r="276" spans="2:2">
      <c r="B276" s="10"/>
    </row>
    <row r="277" spans="2:2">
      <c r="B277" s="10"/>
    </row>
    <row r="278" spans="2:2">
      <c r="B278" s="10"/>
    </row>
    <row r="279" spans="2:2">
      <c r="B279" s="10"/>
    </row>
    <row r="280" spans="2:2">
      <c r="B280" s="10"/>
    </row>
    <row r="281" spans="2:2">
      <c r="B281" s="10"/>
    </row>
    <row r="282" spans="2:2">
      <c r="B282" s="10"/>
    </row>
    <row r="283" spans="2:2">
      <c r="B283" s="10"/>
    </row>
    <row r="284" spans="2:2">
      <c r="B284" s="10"/>
    </row>
    <row r="285" spans="2:2">
      <c r="B285" s="10"/>
    </row>
    <row r="286" spans="2:2">
      <c r="B286" s="10"/>
    </row>
    <row r="287" spans="2:2">
      <c r="B287" s="10"/>
    </row>
    <row r="288" spans="2:2">
      <c r="B288" s="10"/>
    </row>
    <row r="289" spans="2:2">
      <c r="B289" s="10"/>
    </row>
    <row r="290" spans="2:2">
      <c r="B290" s="10"/>
    </row>
    <row r="291" spans="2:2">
      <c r="B291" s="10"/>
    </row>
    <row r="292" spans="2:2">
      <c r="B292" s="10"/>
    </row>
    <row r="293" spans="2:2">
      <c r="B293" s="10"/>
    </row>
    <row r="294" spans="2:2">
      <c r="B294" s="10"/>
    </row>
    <row r="295" spans="2:2">
      <c r="B295" s="10"/>
    </row>
    <row r="296" spans="2:2">
      <c r="B296" s="10"/>
    </row>
    <row r="297" spans="2:2">
      <c r="B297" s="10"/>
    </row>
    <row r="298" spans="2:2">
      <c r="B298" s="10"/>
    </row>
    <row r="299" spans="2:2">
      <c r="B299" s="10"/>
    </row>
    <row r="300" spans="2:2">
      <c r="B300" s="10"/>
    </row>
    <row r="301" spans="2:2">
      <c r="B301" s="10"/>
    </row>
    <row r="302" spans="2:2">
      <c r="B302" s="10"/>
    </row>
    <row r="303" spans="2:2">
      <c r="B303" s="10"/>
    </row>
    <row r="304" spans="2:2">
      <c r="B304" s="10"/>
    </row>
    <row r="305" spans="2:2">
      <c r="B305" s="10"/>
    </row>
    <row r="306" spans="2:2">
      <c r="B306" s="10"/>
    </row>
    <row r="307" spans="2:2">
      <c r="B307" s="10"/>
    </row>
    <row r="308" spans="2:2">
      <c r="B308" s="10"/>
    </row>
    <row r="309" spans="2:2">
      <c r="B309" s="10"/>
    </row>
    <row r="310" spans="2:2">
      <c r="B310" s="10"/>
    </row>
    <row r="311" spans="2:2">
      <c r="B311" s="10"/>
    </row>
    <row r="312" spans="2:2">
      <c r="B312" s="10"/>
    </row>
    <row r="313" spans="2:2">
      <c r="B313" s="10"/>
    </row>
    <row r="314" spans="2:2">
      <c r="B314" s="10"/>
    </row>
    <row r="315" spans="2:2">
      <c r="B315" s="10"/>
    </row>
    <row r="316" spans="2:2">
      <c r="B316" s="10"/>
    </row>
    <row r="317" spans="2:2">
      <c r="B317" s="10"/>
    </row>
    <row r="318" spans="2:2">
      <c r="B318" s="10"/>
    </row>
    <row r="319" spans="2:2">
      <c r="B319" s="10"/>
    </row>
    <row r="320" spans="2:2">
      <c r="B320" s="10"/>
    </row>
    <row r="321" spans="2:2">
      <c r="B321" s="10"/>
    </row>
    <row r="322" spans="2:2">
      <c r="B322" s="10"/>
    </row>
    <row r="323" spans="2:2">
      <c r="B323" s="10"/>
    </row>
    <row r="324" spans="2:2">
      <c r="B324" s="10"/>
    </row>
    <row r="325" spans="2:2">
      <c r="B325" s="10"/>
    </row>
    <row r="326" spans="2:2">
      <c r="B326" s="10"/>
    </row>
    <row r="327" spans="2:2">
      <c r="B327" s="10"/>
    </row>
    <row r="328" spans="2:2">
      <c r="B328" s="10"/>
    </row>
    <row r="329" spans="2:2">
      <c r="B329" s="10"/>
    </row>
    <row r="330" spans="2:2">
      <c r="B330" s="10"/>
    </row>
    <row r="331" spans="2:2">
      <c r="B331" s="10"/>
    </row>
    <row r="332" spans="2:2">
      <c r="B332" s="10"/>
    </row>
    <row r="333" spans="2:2">
      <c r="B333" s="10"/>
    </row>
    <row r="334" spans="2:2">
      <c r="B334" s="10"/>
    </row>
    <row r="335" spans="2:2">
      <c r="B335" s="10"/>
    </row>
    <row r="336" spans="2:2">
      <c r="B336" s="10"/>
    </row>
    <row r="337" spans="2:2">
      <c r="B337" s="10"/>
    </row>
    <row r="338" spans="2:2">
      <c r="B338" s="10"/>
    </row>
    <row r="339" spans="2:2">
      <c r="B339" s="10"/>
    </row>
    <row r="340" spans="2:2">
      <c r="B340" s="10"/>
    </row>
    <row r="341" spans="2:2">
      <c r="B341" s="10"/>
    </row>
    <row r="342" spans="2:2">
      <c r="B342" s="10"/>
    </row>
    <row r="343" spans="2:2">
      <c r="B343" s="10"/>
    </row>
    <row r="344" spans="2:2">
      <c r="B344" s="10"/>
    </row>
    <row r="345" spans="2:2">
      <c r="B345" s="10"/>
    </row>
    <row r="346" spans="2:2">
      <c r="B346" s="10"/>
    </row>
    <row r="347" spans="2:2">
      <c r="B347" s="10"/>
    </row>
    <row r="348" spans="2:2">
      <c r="B348" s="10"/>
    </row>
    <row r="349" spans="2:2">
      <c r="B349" s="10"/>
    </row>
    <row r="350" spans="2:2">
      <c r="B350" s="10"/>
    </row>
    <row r="351" spans="2:2">
      <c r="B351" s="10"/>
    </row>
    <row r="352" spans="2:2">
      <c r="B352" s="10"/>
    </row>
    <row r="353" spans="2:2">
      <c r="B353" s="10"/>
    </row>
    <row r="354" spans="2:2">
      <c r="B354" s="10"/>
    </row>
    <row r="355" spans="2:2">
      <c r="B355" s="10"/>
    </row>
    <row r="356" spans="2:2">
      <c r="B356" s="10"/>
    </row>
    <row r="357" spans="2:2">
      <c r="B357" s="10"/>
    </row>
    <row r="358" spans="2:2">
      <c r="B358" s="10"/>
    </row>
    <row r="359" spans="2:2">
      <c r="B359" s="10"/>
    </row>
    <row r="360" spans="2:2">
      <c r="B360" s="10"/>
    </row>
    <row r="361" spans="2:2">
      <c r="B361" s="10"/>
    </row>
    <row r="362" spans="2:2">
      <c r="B362" s="10"/>
    </row>
    <row r="363" spans="2:2">
      <c r="B363" s="10"/>
    </row>
    <row r="364" spans="2:2">
      <c r="B364" s="10"/>
    </row>
    <row r="365" spans="2:2">
      <c r="B365" s="10"/>
    </row>
    <row r="366" spans="2:2">
      <c r="B366" s="10"/>
    </row>
    <row r="367" spans="2:2">
      <c r="B367" s="10"/>
    </row>
    <row r="368" spans="2:2">
      <c r="B368" s="10"/>
    </row>
    <row r="369" spans="2:2">
      <c r="B369" s="10"/>
    </row>
    <row r="370" spans="2:2">
      <c r="B370" s="10"/>
    </row>
    <row r="371" spans="2:2">
      <c r="B371" s="10"/>
    </row>
    <row r="372" spans="2:2">
      <c r="B372" s="10"/>
    </row>
    <row r="373" spans="2:2">
      <c r="B373" s="10"/>
    </row>
    <row r="374" spans="2:2">
      <c r="B374" s="10"/>
    </row>
    <row r="375" spans="2:2">
      <c r="B375" s="10"/>
    </row>
    <row r="376" spans="2:2">
      <c r="B376" s="10"/>
    </row>
    <row r="377" spans="2:2">
      <c r="B377" s="10"/>
    </row>
    <row r="378" spans="2:2">
      <c r="B378" s="10"/>
    </row>
    <row r="379" spans="2:2">
      <c r="B379" s="10"/>
    </row>
    <row r="380" spans="2:2">
      <c r="B380" s="10"/>
    </row>
    <row r="381" spans="2:2">
      <c r="B381" s="10"/>
    </row>
    <row r="382" spans="2:2">
      <c r="B382" s="10"/>
    </row>
    <row r="383" spans="2:2">
      <c r="B383" s="10"/>
    </row>
    <row r="384" spans="2:2">
      <c r="B384" s="10"/>
    </row>
    <row r="385" spans="2:2">
      <c r="B385" s="10"/>
    </row>
    <row r="386" spans="2:2">
      <c r="B386" s="10"/>
    </row>
    <row r="387" spans="2:2">
      <c r="B387" s="10"/>
    </row>
    <row r="388" spans="2:2">
      <c r="B388" s="10"/>
    </row>
    <row r="389" spans="2:2">
      <c r="B389" s="10"/>
    </row>
    <row r="390" spans="2:2">
      <c r="B390" s="10"/>
    </row>
    <row r="391" spans="2:2">
      <c r="B391" s="10"/>
    </row>
    <row r="392" spans="2:2">
      <c r="B392" s="10"/>
    </row>
    <row r="393" spans="2:2">
      <c r="B393" s="10"/>
    </row>
    <row r="394" spans="2:2">
      <c r="B394" s="10"/>
    </row>
    <row r="395" spans="2:2">
      <c r="B395" s="10"/>
    </row>
    <row r="396" spans="2:2">
      <c r="B396" s="10"/>
    </row>
    <row r="397" spans="2:2">
      <c r="B397" s="10"/>
    </row>
    <row r="398" spans="2:2">
      <c r="B398" s="10"/>
    </row>
    <row r="399" spans="2:2">
      <c r="B399" s="10"/>
    </row>
    <row r="400" spans="2:2">
      <c r="B400" s="10"/>
    </row>
    <row r="401" spans="2:2">
      <c r="B401" s="10"/>
    </row>
    <row r="402" spans="2:2">
      <c r="B402" s="10"/>
    </row>
    <row r="403" spans="2:2">
      <c r="B403" s="10"/>
    </row>
    <row r="404" spans="2:2">
      <c r="B404" s="10"/>
    </row>
    <row r="405" spans="2:2">
      <c r="B405" s="10"/>
    </row>
    <row r="406" spans="2:2">
      <c r="B406" s="10"/>
    </row>
    <row r="407" spans="2:2">
      <c r="B407" s="10"/>
    </row>
    <row r="408" spans="2:2">
      <c r="B408" s="10"/>
    </row>
    <row r="409" spans="2:2">
      <c r="B409" s="10"/>
    </row>
    <row r="410" spans="2:2">
      <c r="B410" s="10"/>
    </row>
    <row r="411" spans="2:2">
      <c r="B411" s="10"/>
    </row>
    <row r="412" spans="2:2">
      <c r="B412" s="10"/>
    </row>
    <row r="413" spans="2:2">
      <c r="B413" s="10"/>
    </row>
    <row r="414" spans="2:2">
      <c r="B414" s="10"/>
    </row>
    <row r="415" spans="2:2">
      <c r="B415" s="10"/>
    </row>
    <row r="416" spans="2:2">
      <c r="B416" s="10"/>
    </row>
    <row r="417" spans="2:2">
      <c r="B417" s="10"/>
    </row>
    <row r="418" spans="2:2">
      <c r="B418" s="10"/>
    </row>
    <row r="419" spans="2:2">
      <c r="B419" s="10"/>
    </row>
    <row r="420" spans="2:2">
      <c r="B420" s="10"/>
    </row>
    <row r="421" spans="2:2">
      <c r="B421" s="10"/>
    </row>
    <row r="422" spans="2:2">
      <c r="B422" s="10"/>
    </row>
    <row r="423" spans="2:2">
      <c r="B423" s="10"/>
    </row>
    <row r="424" spans="2:2">
      <c r="B424" s="10"/>
    </row>
    <row r="425" spans="2:2">
      <c r="B425" s="10"/>
    </row>
    <row r="426" spans="2:2">
      <c r="B426" s="10"/>
    </row>
    <row r="427" spans="2:2">
      <c r="B427" s="10"/>
    </row>
    <row r="428" spans="2:2">
      <c r="B428" s="10"/>
    </row>
    <row r="429" spans="2:2">
      <c r="B429" s="10"/>
    </row>
    <row r="430" spans="2:2">
      <c r="B430" s="10"/>
    </row>
    <row r="431" spans="2:2">
      <c r="B431" s="10"/>
    </row>
    <row r="432" spans="2:2">
      <c r="B432" s="10"/>
    </row>
    <row r="433" spans="2:2">
      <c r="B433" s="10"/>
    </row>
    <row r="434" spans="2:2">
      <c r="B434" s="10"/>
    </row>
    <row r="435" spans="2:2">
      <c r="B435" s="10"/>
    </row>
    <row r="436" spans="2:2">
      <c r="B436" s="10"/>
    </row>
    <row r="437" spans="2:2">
      <c r="B437" s="10"/>
    </row>
    <row r="438" spans="2:2">
      <c r="B438" s="10"/>
    </row>
    <row r="439" spans="2:2">
      <c r="B439" s="10"/>
    </row>
    <row r="440" spans="2:2">
      <c r="B440" s="10"/>
    </row>
    <row r="441" spans="2:2">
      <c r="B441" s="10"/>
    </row>
    <row r="442" spans="2:2">
      <c r="B442" s="10"/>
    </row>
    <row r="443" spans="2:2">
      <c r="B443" s="10"/>
    </row>
    <row r="444" spans="2:2">
      <c r="B444" s="10"/>
    </row>
    <row r="445" spans="2:2">
      <c r="B445" s="10"/>
    </row>
    <row r="446" spans="2:2">
      <c r="B446" s="10"/>
    </row>
    <row r="447" spans="2:2">
      <c r="B447" s="10"/>
    </row>
    <row r="448" spans="2:2">
      <c r="B448" s="10"/>
    </row>
    <row r="449" spans="2:2">
      <c r="B449" s="10"/>
    </row>
    <row r="450" spans="2:2">
      <c r="B450" s="10"/>
    </row>
    <row r="451" spans="2:2">
      <c r="B451" s="10"/>
    </row>
    <row r="452" spans="2:2">
      <c r="B452" s="10"/>
    </row>
    <row r="453" spans="2:2">
      <c r="B453" s="10"/>
    </row>
    <row r="454" spans="2:2">
      <c r="B454" s="10"/>
    </row>
    <row r="455" spans="2:2">
      <c r="B455" s="10"/>
    </row>
    <row r="456" spans="2:2">
      <c r="B456" s="10"/>
    </row>
    <row r="457" spans="2:2">
      <c r="B457" s="10"/>
    </row>
    <row r="458" spans="2:2">
      <c r="B458" s="10"/>
    </row>
    <row r="459" spans="2:2">
      <c r="B459" s="10"/>
    </row>
    <row r="460" spans="2:2">
      <c r="B460" s="10"/>
    </row>
    <row r="461" spans="2:2">
      <c r="B461" s="10"/>
    </row>
    <row r="462" spans="2:2">
      <c r="B462" s="10"/>
    </row>
    <row r="463" spans="2:2">
      <c r="B463" s="10"/>
    </row>
    <row r="464" spans="2:2">
      <c r="B464" s="10"/>
    </row>
    <row r="465" spans="2:2">
      <c r="B465" s="10"/>
    </row>
    <row r="466" spans="2:2">
      <c r="B466" s="10"/>
    </row>
    <row r="467" spans="2:2">
      <c r="B467" s="10"/>
    </row>
    <row r="468" spans="2:2">
      <c r="B468" s="10"/>
    </row>
    <row r="469" spans="2:2">
      <c r="B469" s="10"/>
    </row>
    <row r="470" spans="2:2">
      <c r="B470" s="10"/>
    </row>
    <row r="471" spans="2:2">
      <c r="B471" s="10"/>
    </row>
    <row r="472" spans="2:2">
      <c r="B472" s="10"/>
    </row>
    <row r="473" spans="2:2">
      <c r="B473" s="10"/>
    </row>
    <row r="474" spans="2:2">
      <c r="B474" s="10"/>
    </row>
    <row r="475" spans="2:2">
      <c r="B475" s="10"/>
    </row>
    <row r="476" spans="2:2">
      <c r="B476" s="10"/>
    </row>
    <row r="477" spans="2:2">
      <c r="B477" s="10"/>
    </row>
    <row r="478" spans="2:2">
      <c r="B478" s="10"/>
    </row>
    <row r="479" spans="2:2">
      <c r="B479" s="10"/>
    </row>
    <row r="480" spans="2:2">
      <c r="B480" s="10"/>
    </row>
    <row r="481" spans="2:2">
      <c r="B481" s="10"/>
    </row>
    <row r="482" spans="2:2">
      <c r="B482" s="10"/>
    </row>
    <row r="483" spans="2:2">
      <c r="B483" s="10"/>
    </row>
    <row r="484" spans="2:2">
      <c r="B484" s="10"/>
    </row>
    <row r="485" spans="2:2">
      <c r="B485" s="10"/>
    </row>
    <row r="486" spans="2:2">
      <c r="B486" s="10"/>
    </row>
    <row r="487" spans="2:2">
      <c r="B487" s="10"/>
    </row>
    <row r="488" spans="2:2">
      <c r="B488" s="10"/>
    </row>
    <row r="489" spans="2:2">
      <c r="B489" s="10"/>
    </row>
    <row r="490" spans="2:2">
      <c r="B490" s="10"/>
    </row>
    <row r="491" spans="2:2">
      <c r="B491" s="10"/>
    </row>
    <row r="492" spans="2:2">
      <c r="B492" s="10"/>
    </row>
    <row r="493" spans="2:2">
      <c r="B493" s="10"/>
    </row>
    <row r="494" spans="2:2">
      <c r="B494" s="10"/>
    </row>
    <row r="495" spans="2:2">
      <c r="B495" s="10"/>
    </row>
    <row r="496" spans="2:2">
      <c r="B496" s="10"/>
    </row>
    <row r="497" spans="2:2">
      <c r="B497" s="10"/>
    </row>
    <row r="498" spans="2:2">
      <c r="B498" s="10"/>
    </row>
    <row r="499" spans="2:2">
      <c r="B499" s="10"/>
    </row>
    <row r="500" spans="2:2">
      <c r="B500" s="10"/>
    </row>
    <row r="501" spans="2:2">
      <c r="B501" s="10"/>
    </row>
    <row r="502" spans="2:2">
      <c r="B502" s="10"/>
    </row>
    <row r="503" spans="2:2">
      <c r="B503" s="10"/>
    </row>
    <row r="504" spans="2:2">
      <c r="B504" s="10"/>
    </row>
    <row r="505" spans="2:2">
      <c r="B505" s="10"/>
    </row>
    <row r="506" spans="2:2">
      <c r="B506" s="10"/>
    </row>
    <row r="507" spans="2:2">
      <c r="B507" s="10"/>
    </row>
    <row r="508" spans="2:2">
      <c r="B508" s="10"/>
    </row>
    <row r="509" spans="2:2">
      <c r="B509" s="10"/>
    </row>
    <row r="510" spans="2:2">
      <c r="B510" s="10"/>
    </row>
    <row r="511" spans="2:2">
      <c r="B511" s="10"/>
    </row>
    <row r="512" spans="2:2">
      <c r="B512" s="10"/>
    </row>
    <row r="513" spans="2:2">
      <c r="B513" s="10"/>
    </row>
    <row r="514" spans="2:2">
      <c r="B514" s="10"/>
    </row>
    <row r="515" spans="2:2">
      <c r="B515" s="10"/>
    </row>
    <row r="516" spans="2:2">
      <c r="B516" s="10"/>
    </row>
    <row r="517" spans="2:2">
      <c r="B517" s="10"/>
    </row>
    <row r="518" spans="2:2">
      <c r="B518" s="10"/>
    </row>
    <row r="519" spans="2:2">
      <c r="B519" s="10"/>
    </row>
    <row r="520" spans="2:2">
      <c r="B520" s="10"/>
    </row>
    <row r="521" spans="2:2">
      <c r="B521" s="10"/>
    </row>
    <row r="522" spans="2:2">
      <c r="B522" s="10"/>
    </row>
    <row r="523" spans="2:2">
      <c r="B523" s="10"/>
    </row>
    <row r="524" spans="2:2">
      <c r="B524" s="10"/>
    </row>
    <row r="525" spans="2:2">
      <c r="B525" s="10"/>
    </row>
    <row r="526" spans="2:2">
      <c r="B526" s="10"/>
    </row>
    <row r="527" spans="2:2">
      <c r="B527" s="10"/>
    </row>
    <row r="528" spans="2:2">
      <c r="B528" s="10"/>
    </row>
    <row r="529" spans="2:2">
      <c r="B529" s="10"/>
    </row>
    <row r="530" spans="2:2">
      <c r="B530" s="10"/>
    </row>
    <row r="531" spans="2:2">
      <c r="B531" s="10"/>
    </row>
    <row r="532" spans="2:2">
      <c r="B532" s="10"/>
    </row>
    <row r="533" spans="2:2">
      <c r="B533" s="10"/>
    </row>
    <row r="534" spans="2:2">
      <c r="B534" s="10"/>
    </row>
    <row r="535" spans="2:2">
      <c r="B535" s="10"/>
    </row>
    <row r="536" spans="2:2">
      <c r="B536" s="10"/>
    </row>
    <row r="537" spans="2:2">
      <c r="B537" s="10"/>
    </row>
    <row r="538" spans="2:2">
      <c r="B538" s="10"/>
    </row>
    <row r="539" spans="2:2">
      <c r="B539" s="10"/>
    </row>
    <row r="540" spans="2:2">
      <c r="B540" s="10"/>
    </row>
    <row r="541" spans="2:2">
      <c r="B541" s="10"/>
    </row>
    <row r="542" spans="2:2">
      <c r="B542" s="10"/>
    </row>
    <row r="543" spans="2:2">
      <c r="B543" s="10"/>
    </row>
    <row r="544" spans="2:2">
      <c r="B544" s="10"/>
    </row>
    <row r="545" spans="2:2">
      <c r="B545" s="10"/>
    </row>
    <row r="546" spans="2:2">
      <c r="B546" s="10"/>
    </row>
    <row r="547" spans="2:2">
      <c r="B547" s="10"/>
    </row>
    <row r="548" spans="2:2">
      <c r="B548" s="10"/>
    </row>
    <row r="549" spans="2:2">
      <c r="B549" s="10"/>
    </row>
    <row r="550" spans="2:2">
      <c r="B550" s="10"/>
    </row>
    <row r="551" spans="2:2">
      <c r="B551" s="10"/>
    </row>
    <row r="552" spans="2:2">
      <c r="B552" s="10"/>
    </row>
    <row r="553" spans="2:2">
      <c r="B553" s="10"/>
    </row>
    <row r="554" spans="2:2">
      <c r="B554" s="10"/>
    </row>
    <row r="555" spans="2:2">
      <c r="B555" s="10"/>
    </row>
    <row r="556" spans="2:2">
      <c r="B556" s="10"/>
    </row>
    <row r="557" spans="2:2">
      <c r="B557" s="10"/>
    </row>
    <row r="558" spans="2:2">
      <c r="B558" s="10"/>
    </row>
    <row r="559" spans="2:2">
      <c r="B559" s="10"/>
    </row>
    <row r="560" spans="2:2">
      <c r="B560" s="10"/>
    </row>
    <row r="561" spans="2:2">
      <c r="B561" s="10"/>
    </row>
    <row r="562" spans="2:2">
      <c r="B562" s="10"/>
    </row>
    <row r="563" spans="2:2">
      <c r="B563" s="10"/>
    </row>
    <row r="564" spans="2:2">
      <c r="B564" s="10"/>
    </row>
    <row r="565" spans="2:2">
      <c r="B565" s="10"/>
    </row>
    <row r="566" spans="2:2">
      <c r="B566" s="10"/>
    </row>
    <row r="567" spans="2:2">
      <c r="B567" s="10"/>
    </row>
    <row r="568" spans="2:2">
      <c r="B568" s="10"/>
    </row>
    <row r="569" spans="2:2">
      <c r="B569" s="10"/>
    </row>
    <row r="570" spans="2:2">
      <c r="B570" s="10"/>
    </row>
    <row r="571" spans="2:2">
      <c r="B571" s="10"/>
    </row>
    <row r="572" spans="2:2">
      <c r="B572" s="10"/>
    </row>
    <row r="573" spans="2:2">
      <c r="B573" s="10"/>
    </row>
    <row r="574" spans="2:2">
      <c r="B574" s="10"/>
    </row>
    <row r="575" spans="2:2">
      <c r="B575" s="10"/>
    </row>
    <row r="576" spans="2:2">
      <c r="B576" s="10"/>
    </row>
    <row r="577" spans="2:2">
      <c r="B577" s="10"/>
    </row>
    <row r="578" spans="2:2">
      <c r="B578" s="10"/>
    </row>
    <row r="579" spans="2:2">
      <c r="B579" s="10"/>
    </row>
    <row r="580" spans="2:2">
      <c r="B580" s="10"/>
    </row>
    <row r="581" spans="2:2">
      <c r="B581" s="10"/>
    </row>
    <row r="582" spans="2:2">
      <c r="B582" s="10"/>
    </row>
    <row r="583" spans="2:2">
      <c r="B583" s="10"/>
    </row>
    <row r="584" spans="2:2">
      <c r="B584" s="10"/>
    </row>
    <row r="585" spans="2:2">
      <c r="B585" s="10"/>
    </row>
    <row r="586" spans="2:2">
      <c r="B586" s="10"/>
    </row>
    <row r="587" spans="2:2">
      <c r="B587" s="10"/>
    </row>
    <row r="588" spans="2:2">
      <c r="B588" s="10"/>
    </row>
    <row r="589" spans="2:2">
      <c r="B589" s="10"/>
    </row>
    <row r="590" spans="2:2">
      <c r="B590" s="10"/>
    </row>
    <row r="591" spans="2:2">
      <c r="B591" s="10"/>
    </row>
    <row r="592" spans="2:2">
      <c r="B592" s="10"/>
    </row>
    <row r="593" spans="2:2">
      <c r="B593" s="10"/>
    </row>
    <row r="594" spans="2:2">
      <c r="B594" s="10"/>
    </row>
    <row r="595" spans="2:2">
      <c r="B595" s="10"/>
    </row>
    <row r="596" spans="2:2">
      <c r="B596" s="10"/>
    </row>
    <row r="597" spans="2:2">
      <c r="B597" s="10"/>
    </row>
    <row r="598" spans="2:2">
      <c r="B598" s="10"/>
    </row>
    <row r="599" spans="2:2">
      <c r="B599" s="10"/>
    </row>
    <row r="600" spans="2:2">
      <c r="B600" s="10"/>
    </row>
    <row r="601" spans="2:2">
      <c r="B601" s="10"/>
    </row>
    <row r="602" spans="2:2">
      <c r="B602" s="10"/>
    </row>
    <row r="603" spans="2:2">
      <c r="B603" s="10"/>
    </row>
    <row r="604" spans="2:2">
      <c r="B604" s="10"/>
    </row>
    <row r="605" spans="2:2">
      <c r="B605" s="10"/>
    </row>
    <row r="606" spans="2:2">
      <c r="B606" s="10"/>
    </row>
    <row r="607" spans="2:2">
      <c r="B607" s="10"/>
    </row>
    <row r="608" spans="2:2">
      <c r="B608" s="10"/>
    </row>
    <row r="609" spans="2:2">
      <c r="B609" s="10"/>
    </row>
    <row r="610" spans="2:2">
      <c r="B610" s="10"/>
    </row>
    <row r="611" spans="2:2">
      <c r="B611" s="10"/>
    </row>
    <row r="612" spans="2:2">
      <c r="B612" s="10"/>
    </row>
    <row r="613" spans="2:2">
      <c r="B613" s="10"/>
    </row>
    <row r="614" spans="2:2">
      <c r="B614" s="10"/>
    </row>
    <row r="615" spans="2:2">
      <c r="B615" s="10"/>
    </row>
    <row r="616" spans="2:2">
      <c r="B616" s="10"/>
    </row>
    <row r="617" spans="2:2">
      <c r="B617" s="10"/>
    </row>
    <row r="618" spans="2:2">
      <c r="B618" s="10"/>
    </row>
    <row r="619" spans="2:2">
      <c r="B619" s="10"/>
    </row>
    <row r="620" spans="2:2">
      <c r="B620" s="10"/>
    </row>
    <row r="621" spans="2:2">
      <c r="B621" s="10"/>
    </row>
    <row r="622" spans="2:2">
      <c r="B622" s="10"/>
    </row>
    <row r="623" spans="2:2">
      <c r="B623" s="10"/>
    </row>
    <row r="624" spans="2:2">
      <c r="B624" s="10"/>
    </row>
    <row r="625" spans="2:2">
      <c r="B625" s="10"/>
    </row>
    <row r="626" spans="2:2">
      <c r="B626" s="10"/>
    </row>
    <row r="627" spans="2:2">
      <c r="B627" s="10"/>
    </row>
    <row r="628" spans="2:2">
      <c r="B628" s="10"/>
    </row>
    <row r="629" spans="2:2">
      <c r="B629" s="10"/>
    </row>
    <row r="630" spans="2:2">
      <c r="B630" s="10"/>
    </row>
    <row r="631" spans="2:2">
      <c r="B631" s="10"/>
    </row>
    <row r="632" spans="2:2">
      <c r="B632" s="10"/>
    </row>
    <row r="633" spans="2:2">
      <c r="B633" s="10"/>
    </row>
    <row r="634" spans="2:2">
      <c r="B634" s="10"/>
    </row>
    <row r="635" spans="2:2">
      <c r="B635" s="10"/>
    </row>
    <row r="636" spans="2:2">
      <c r="B636" s="10"/>
    </row>
    <row r="637" spans="2:2">
      <c r="B637" s="10"/>
    </row>
    <row r="638" spans="2:2">
      <c r="B638" s="10"/>
    </row>
    <row r="639" spans="2:2">
      <c r="B639" s="10"/>
    </row>
    <row r="640" spans="2:2">
      <c r="B640" s="10"/>
    </row>
    <row r="641" spans="2:2">
      <c r="B641" s="10"/>
    </row>
    <row r="642" spans="2:2">
      <c r="B642" s="10"/>
    </row>
    <row r="643" spans="2:2">
      <c r="B643" s="10"/>
    </row>
    <row r="644" spans="2:2">
      <c r="B644" s="10"/>
    </row>
    <row r="645" spans="2:2">
      <c r="B645" s="10"/>
    </row>
    <row r="646" spans="2:2">
      <c r="B646" s="10"/>
    </row>
    <row r="647" spans="2:2">
      <c r="B647" s="10"/>
    </row>
    <row r="648" spans="2:2">
      <c r="B648" s="10"/>
    </row>
    <row r="649" spans="2:2">
      <c r="B649" s="10"/>
    </row>
    <row r="650" spans="2:2">
      <c r="B650" s="10"/>
    </row>
    <row r="651" spans="2:2">
      <c r="B651" s="10"/>
    </row>
    <row r="652" spans="2:2">
      <c r="B652" s="10"/>
    </row>
    <row r="653" spans="2:2">
      <c r="B653" s="10"/>
    </row>
    <row r="654" spans="2:2">
      <c r="B654" s="10"/>
    </row>
    <row r="655" spans="2:2">
      <c r="B655" s="10"/>
    </row>
    <row r="656" spans="2:2">
      <c r="B656" s="10"/>
    </row>
    <row r="657" spans="2:2">
      <c r="B657" s="10"/>
    </row>
    <row r="658" spans="2:2">
      <c r="B658" s="10"/>
    </row>
    <row r="659" spans="2:2">
      <c r="B659" s="10"/>
    </row>
    <row r="660" spans="2:2">
      <c r="B660" s="10"/>
    </row>
    <row r="661" spans="2:2">
      <c r="B661" s="10"/>
    </row>
    <row r="662" spans="2:2">
      <c r="B662" s="10"/>
    </row>
    <row r="663" spans="2:2">
      <c r="B663" s="10"/>
    </row>
    <row r="664" spans="2:2">
      <c r="B664" s="10"/>
    </row>
    <row r="665" spans="2:2">
      <c r="B665" s="10"/>
    </row>
    <row r="666" spans="2:2">
      <c r="B666" s="10"/>
    </row>
    <row r="667" spans="2:2">
      <c r="B667" s="10"/>
    </row>
    <row r="668" spans="2:2">
      <c r="B668" s="10"/>
    </row>
    <row r="669" spans="2:2">
      <c r="B669" s="10"/>
    </row>
    <row r="670" spans="2:2">
      <c r="B670" s="10"/>
    </row>
    <row r="671" spans="2:2">
      <c r="B671" s="10"/>
    </row>
    <row r="672" spans="2:2">
      <c r="B672" s="10"/>
    </row>
    <row r="673" spans="2:2">
      <c r="B673" s="10"/>
    </row>
    <row r="674" spans="2:2">
      <c r="B674" s="10"/>
    </row>
    <row r="675" spans="2:2">
      <c r="B675" s="10"/>
    </row>
    <row r="676" spans="2:2">
      <c r="B676" s="10"/>
    </row>
    <row r="677" spans="2:2">
      <c r="B677" s="10"/>
    </row>
    <row r="678" spans="2:2">
      <c r="B678" s="10"/>
    </row>
    <row r="679" spans="2:2">
      <c r="B679" s="10"/>
    </row>
    <row r="680" spans="2:2">
      <c r="B680" s="10"/>
    </row>
    <row r="681" spans="2:2">
      <c r="B681" s="10"/>
    </row>
    <row r="682" spans="2:2">
      <c r="B682" s="10"/>
    </row>
    <row r="683" spans="2:2">
      <c r="B683" s="10"/>
    </row>
    <row r="684" spans="2:2">
      <c r="B684" s="10"/>
    </row>
    <row r="685" spans="2:2">
      <c r="B685" s="10"/>
    </row>
    <row r="686" spans="2:2">
      <c r="B686" s="10"/>
    </row>
    <row r="687" spans="2:2">
      <c r="B687" s="10"/>
    </row>
    <row r="688" spans="2:2">
      <c r="B688" s="10"/>
    </row>
    <row r="689" spans="2:2">
      <c r="B689" s="10"/>
    </row>
    <row r="690" spans="2:2">
      <c r="B690" s="10"/>
    </row>
    <row r="691" spans="2:2">
      <c r="B691" s="10"/>
    </row>
    <row r="692" spans="2:2">
      <c r="B692" s="10"/>
    </row>
    <row r="693" spans="2:2">
      <c r="B693" s="10"/>
    </row>
    <row r="694" spans="2:2">
      <c r="B694" s="10"/>
    </row>
    <row r="695" spans="2:2">
      <c r="B695" s="10"/>
    </row>
    <row r="696" spans="2:2">
      <c r="B696" s="10"/>
    </row>
    <row r="697" spans="2:2">
      <c r="B697" s="10"/>
    </row>
    <row r="698" spans="2:2">
      <c r="B698" s="10"/>
    </row>
    <row r="699" spans="2:2">
      <c r="B699" s="10"/>
    </row>
    <row r="700" spans="2:2">
      <c r="B700" s="10"/>
    </row>
    <row r="701" spans="2:2">
      <c r="B701" s="10"/>
    </row>
    <row r="702" spans="2:2">
      <c r="B702" s="10"/>
    </row>
    <row r="703" spans="2:2">
      <c r="B703" s="10"/>
    </row>
    <row r="704" spans="2:2">
      <c r="B704" s="10"/>
    </row>
    <row r="705" spans="2:2">
      <c r="B705" s="10"/>
    </row>
    <row r="706" spans="2:2">
      <c r="B706" s="10"/>
    </row>
    <row r="707" spans="2:2">
      <c r="B707" s="10"/>
    </row>
    <row r="708" spans="2:2">
      <c r="B708" s="10"/>
    </row>
    <row r="709" spans="2:2">
      <c r="B709" s="10"/>
    </row>
    <row r="710" spans="2:2">
      <c r="B710" s="10"/>
    </row>
    <row r="711" spans="2:2">
      <c r="B711" s="10"/>
    </row>
    <row r="712" spans="2:2">
      <c r="B712" s="10"/>
    </row>
    <row r="713" spans="2:2">
      <c r="B713" s="10"/>
    </row>
    <row r="714" spans="2:2">
      <c r="B714" s="10"/>
    </row>
    <row r="715" spans="2:2">
      <c r="B715" s="10"/>
    </row>
    <row r="716" spans="2:2">
      <c r="B716" s="10"/>
    </row>
    <row r="717" spans="2:2">
      <c r="B717" s="10"/>
    </row>
    <row r="718" spans="2:2">
      <c r="B718" s="10"/>
    </row>
    <row r="719" spans="2:2">
      <c r="B719" s="10"/>
    </row>
    <row r="720" spans="2:2">
      <c r="B720" s="10"/>
    </row>
    <row r="721" spans="2:2">
      <c r="B721" s="10"/>
    </row>
    <row r="722" spans="2:2">
      <c r="B722" s="10"/>
    </row>
    <row r="723" spans="2:2">
      <c r="B723" s="10"/>
    </row>
    <row r="724" spans="2:2">
      <c r="B724" s="10"/>
    </row>
    <row r="725" spans="2:2">
      <c r="B725" s="10"/>
    </row>
    <row r="726" spans="2:2">
      <c r="B726" s="10"/>
    </row>
    <row r="727" spans="2:2">
      <c r="B727" s="10"/>
    </row>
    <row r="728" spans="2:2">
      <c r="B728" s="10"/>
    </row>
    <row r="729" spans="2:2">
      <c r="B729" s="10"/>
    </row>
    <row r="730" spans="2:2">
      <c r="B730" s="10"/>
    </row>
    <row r="731" spans="2:2">
      <c r="B731" s="10"/>
    </row>
    <row r="732" spans="2:2">
      <c r="B732" s="10"/>
    </row>
    <row r="733" spans="2:2">
      <c r="B733" s="10"/>
    </row>
    <row r="734" spans="2:2">
      <c r="B734" s="10"/>
    </row>
    <row r="735" spans="2:2">
      <c r="B735" s="10"/>
    </row>
    <row r="736" spans="2:2">
      <c r="B736" s="10"/>
    </row>
    <row r="737" spans="2:2">
      <c r="B737" s="10"/>
    </row>
    <row r="738" spans="2:2">
      <c r="B738" s="10"/>
    </row>
    <row r="739" spans="2:2">
      <c r="B739" s="10"/>
    </row>
    <row r="740" spans="2:2">
      <c r="B740" s="10"/>
    </row>
    <row r="741" spans="2:2">
      <c r="B741" s="10"/>
    </row>
    <row r="742" spans="2:2">
      <c r="B742" s="10"/>
    </row>
    <row r="743" spans="2:2">
      <c r="B743" s="10"/>
    </row>
    <row r="744" spans="2:2">
      <c r="B744" s="10"/>
    </row>
    <row r="745" spans="2:2">
      <c r="B745" s="10"/>
    </row>
    <row r="746" spans="2:2">
      <c r="B746" s="10"/>
    </row>
    <row r="747" spans="2:2">
      <c r="B747" s="10"/>
    </row>
    <row r="748" spans="2:2">
      <c r="B748" s="10"/>
    </row>
    <row r="749" spans="2:2">
      <c r="B749" s="10"/>
    </row>
    <row r="750" spans="2:2">
      <c r="B750" s="10"/>
    </row>
    <row r="751" spans="2:2">
      <c r="B751" s="10"/>
    </row>
    <row r="752" spans="2:2">
      <c r="B752" s="10"/>
    </row>
    <row r="753" spans="2:2">
      <c r="B753" s="10"/>
    </row>
    <row r="754" spans="2:2">
      <c r="B754" s="10"/>
    </row>
    <row r="755" spans="2:2">
      <c r="B755" s="10"/>
    </row>
    <row r="756" spans="2:2">
      <c r="B756" s="10"/>
    </row>
    <row r="757" spans="2:2">
      <c r="B757" s="10"/>
    </row>
    <row r="758" spans="2:2">
      <c r="B758" s="10"/>
    </row>
    <row r="759" spans="2:2">
      <c r="B759" s="10"/>
    </row>
    <row r="760" spans="2:2">
      <c r="B760" s="10"/>
    </row>
    <row r="761" spans="2:2">
      <c r="B761" s="10"/>
    </row>
    <row r="762" spans="2:2">
      <c r="B762" s="10"/>
    </row>
    <row r="763" spans="2:2">
      <c r="B763" s="10"/>
    </row>
    <row r="764" spans="2:2">
      <c r="B764" s="10"/>
    </row>
    <row r="765" spans="2:2">
      <c r="B765" s="10"/>
    </row>
    <row r="766" spans="2:2">
      <c r="B766" s="10"/>
    </row>
    <row r="767" spans="2:2">
      <c r="B767" s="10"/>
    </row>
    <row r="768" spans="2:2">
      <c r="B768" s="10"/>
    </row>
    <row r="769" spans="2:2">
      <c r="B769" s="10"/>
    </row>
    <row r="770" spans="2:2">
      <c r="B770" s="10"/>
    </row>
    <row r="771" spans="2:2">
      <c r="B771" s="10"/>
    </row>
    <row r="772" spans="2:2">
      <c r="B772" s="10"/>
    </row>
    <row r="773" spans="2:2">
      <c r="B773" s="10"/>
    </row>
    <row r="774" spans="2:2">
      <c r="B774" s="10"/>
    </row>
    <row r="775" spans="2:2">
      <c r="B775" s="10"/>
    </row>
    <row r="776" spans="2:2">
      <c r="B776" s="10"/>
    </row>
    <row r="777" spans="2:2">
      <c r="B777" s="10"/>
    </row>
    <row r="778" spans="2:2">
      <c r="B778" s="10"/>
    </row>
    <row r="779" spans="2:2">
      <c r="B779" s="10"/>
    </row>
    <row r="780" spans="2:2">
      <c r="B780" s="10"/>
    </row>
    <row r="781" spans="2:2">
      <c r="B781" s="10"/>
    </row>
    <row r="782" spans="2:2">
      <c r="B782" s="10"/>
    </row>
    <row r="783" spans="2:2">
      <c r="B783" s="10"/>
    </row>
    <row r="784" spans="2:2">
      <c r="B784" s="10"/>
    </row>
    <row r="785" spans="2:2">
      <c r="B785" s="10"/>
    </row>
    <row r="786" spans="2:2">
      <c r="B786" s="10"/>
    </row>
    <row r="787" spans="2:2">
      <c r="B787" s="10"/>
    </row>
    <row r="788" spans="2:2">
      <c r="B788" s="10"/>
    </row>
    <row r="789" spans="2:2">
      <c r="B789" s="10"/>
    </row>
    <row r="790" spans="2:2">
      <c r="B790" s="10"/>
    </row>
    <row r="791" spans="2:2">
      <c r="B791" s="10"/>
    </row>
    <row r="792" spans="2:2">
      <c r="B792" s="10"/>
    </row>
    <row r="793" spans="2:2">
      <c r="B793" s="10"/>
    </row>
    <row r="794" spans="2:2">
      <c r="B794" s="10"/>
    </row>
    <row r="795" spans="2:2">
      <c r="B795" s="10"/>
    </row>
    <row r="796" spans="2:2">
      <c r="B796" s="10"/>
    </row>
    <row r="797" spans="2:2">
      <c r="B797" s="10"/>
    </row>
    <row r="798" spans="2:2">
      <c r="B798" s="10"/>
    </row>
    <row r="799" spans="2:2">
      <c r="B799" s="10"/>
    </row>
    <row r="800" spans="2:2">
      <c r="B800" s="10"/>
    </row>
    <row r="801" spans="2:2">
      <c r="B801" s="10"/>
    </row>
    <row r="802" spans="2:2">
      <c r="B802" s="10"/>
    </row>
    <row r="803" spans="2:2">
      <c r="B803" s="10"/>
    </row>
    <row r="804" spans="2:2">
      <c r="B804" s="10"/>
    </row>
    <row r="805" spans="2:2">
      <c r="B805" s="10"/>
    </row>
    <row r="806" spans="2:2">
      <c r="B806" s="10"/>
    </row>
    <row r="807" spans="2:2">
      <c r="B807" s="10"/>
    </row>
    <row r="808" spans="2:2">
      <c r="B808" s="10"/>
    </row>
    <row r="809" spans="2:2">
      <c r="B809" s="10"/>
    </row>
    <row r="810" spans="2:2">
      <c r="B810" s="10"/>
    </row>
    <row r="811" spans="2:2">
      <c r="B811" s="10"/>
    </row>
    <row r="812" spans="2:2">
      <c r="B812" s="10"/>
    </row>
    <row r="813" spans="2:2">
      <c r="B813" s="10"/>
    </row>
    <row r="814" spans="2:2">
      <c r="B814" s="10"/>
    </row>
    <row r="815" spans="2:2">
      <c r="B815" s="10"/>
    </row>
    <row r="816" spans="2:2">
      <c r="B816" s="10"/>
    </row>
    <row r="817" spans="2:2">
      <c r="B817" s="10"/>
    </row>
    <row r="818" spans="2:2">
      <c r="B818" s="10"/>
    </row>
    <row r="819" spans="2:2">
      <c r="B819" s="10"/>
    </row>
    <row r="820" spans="2:2">
      <c r="B820" s="10"/>
    </row>
    <row r="821" spans="2:2">
      <c r="B821" s="10"/>
    </row>
    <row r="822" spans="2:2">
      <c r="B822" s="10"/>
    </row>
    <row r="823" spans="2:2">
      <c r="B823" s="10"/>
    </row>
    <row r="824" spans="2:2">
      <c r="B824" s="10"/>
    </row>
    <row r="825" spans="2:2">
      <c r="B825" s="10"/>
    </row>
    <row r="826" spans="2:2">
      <c r="B826" s="10"/>
    </row>
    <row r="827" spans="2:2">
      <c r="B827" s="10"/>
    </row>
    <row r="828" spans="2:2">
      <c r="B828" s="10"/>
    </row>
    <row r="829" spans="2:2">
      <c r="B829" s="10"/>
    </row>
    <row r="830" spans="2:2">
      <c r="B830" s="10"/>
    </row>
    <row r="831" spans="2:2">
      <c r="B831" s="10"/>
    </row>
    <row r="832" spans="2:2">
      <c r="B832" s="10"/>
    </row>
    <row r="833" spans="2:2">
      <c r="B833" s="10"/>
    </row>
    <row r="834" spans="2:2">
      <c r="B834" s="10"/>
    </row>
    <row r="835" spans="2:2">
      <c r="B835" s="10"/>
    </row>
    <row r="836" spans="2:2">
      <c r="B836" s="10"/>
    </row>
    <row r="837" spans="2:2">
      <c r="B837" s="10"/>
    </row>
    <row r="838" spans="2:2">
      <c r="B838" s="10"/>
    </row>
    <row r="839" spans="2:2">
      <c r="B839" s="10"/>
    </row>
    <row r="840" spans="2:2">
      <c r="B840" s="10"/>
    </row>
    <row r="841" spans="2:2">
      <c r="B841" s="10"/>
    </row>
    <row r="842" spans="2:2">
      <c r="B842" s="10"/>
    </row>
    <row r="843" spans="2:2">
      <c r="B843" s="10"/>
    </row>
    <row r="844" spans="2:2">
      <c r="B844" s="10"/>
    </row>
    <row r="845" spans="2:2">
      <c r="B845" s="10"/>
    </row>
    <row r="846" spans="2:2">
      <c r="B846" s="10"/>
    </row>
    <row r="847" spans="2:2">
      <c r="B847" s="10"/>
    </row>
    <row r="848" spans="2:2">
      <c r="B848" s="10"/>
    </row>
    <row r="849" spans="2:2">
      <c r="B849" s="10"/>
    </row>
    <row r="850" spans="2:2">
      <c r="B850" s="10"/>
    </row>
    <row r="851" spans="2:2">
      <c r="B851" s="10"/>
    </row>
    <row r="852" spans="2:2">
      <c r="B852" s="10"/>
    </row>
    <row r="853" spans="2:2">
      <c r="B853" s="10"/>
    </row>
    <row r="854" spans="2:2">
      <c r="B854" s="10"/>
    </row>
    <row r="855" spans="2:2">
      <c r="B855" s="10"/>
    </row>
    <row r="856" spans="2:2">
      <c r="B856" s="10"/>
    </row>
    <row r="857" spans="2:2">
      <c r="B857" s="10"/>
    </row>
    <row r="858" spans="2:2">
      <c r="B858" s="10"/>
    </row>
    <row r="859" spans="2:2">
      <c r="B859" s="10"/>
    </row>
    <row r="860" spans="2:2">
      <c r="B860" s="10"/>
    </row>
    <row r="861" spans="2:2">
      <c r="B861" s="10"/>
    </row>
    <row r="862" spans="2:2">
      <c r="B862" s="10"/>
    </row>
    <row r="863" spans="2:2">
      <c r="B863" s="10"/>
    </row>
    <row r="864" spans="2:2">
      <c r="B864" s="10"/>
    </row>
    <row r="865" spans="2:2">
      <c r="B865" s="10"/>
    </row>
    <row r="866" spans="2:2">
      <c r="B866" s="10"/>
    </row>
    <row r="867" spans="2:2">
      <c r="B867" s="10"/>
    </row>
    <row r="868" spans="2:2">
      <c r="B868" s="10"/>
    </row>
    <row r="869" spans="2:2">
      <c r="B869" s="10"/>
    </row>
    <row r="870" spans="2:2">
      <c r="B870" s="10"/>
    </row>
    <row r="871" spans="2:2">
      <c r="B871" s="10"/>
    </row>
    <row r="872" spans="2:2">
      <c r="B872" s="10"/>
    </row>
    <row r="873" spans="2:2">
      <c r="B873" s="10"/>
    </row>
    <row r="874" spans="2:2">
      <c r="B874" s="10"/>
    </row>
    <row r="875" spans="2:2">
      <c r="B875" s="10"/>
    </row>
    <row r="876" spans="2:2">
      <c r="B876" s="10"/>
    </row>
    <row r="877" spans="2:2">
      <c r="B877" s="10"/>
    </row>
    <row r="878" spans="2:2">
      <c r="B878" s="10"/>
    </row>
    <row r="879" spans="2:2">
      <c r="B879" s="10"/>
    </row>
    <row r="880" spans="2:2">
      <c r="B880" s="10"/>
    </row>
    <row r="881" spans="2:2">
      <c r="B881" s="10"/>
    </row>
    <row r="882" spans="2:2">
      <c r="B882" s="10"/>
    </row>
    <row r="883" spans="2:2">
      <c r="B883" s="10"/>
    </row>
    <row r="884" spans="2:2">
      <c r="B884" s="10"/>
    </row>
    <row r="885" spans="2:2">
      <c r="B885" s="10"/>
    </row>
    <row r="886" spans="2:2">
      <c r="B886" s="10"/>
    </row>
    <row r="887" spans="2:2">
      <c r="B887" s="10"/>
    </row>
    <row r="888" spans="2:2">
      <c r="B888" s="10"/>
    </row>
    <row r="889" spans="2:2">
      <c r="B889" s="10"/>
    </row>
    <row r="890" spans="2:2">
      <c r="B890" s="10"/>
    </row>
    <row r="891" spans="2:2">
      <c r="B891" s="10"/>
    </row>
    <row r="892" spans="2:2">
      <c r="B892" s="10"/>
    </row>
    <row r="893" spans="2:2">
      <c r="B893" s="10"/>
    </row>
    <row r="894" spans="2:2">
      <c r="B894" s="10"/>
    </row>
    <row r="895" spans="2:2">
      <c r="B895" s="10"/>
    </row>
    <row r="896" spans="2:2">
      <c r="B896" s="10"/>
    </row>
    <row r="897" spans="2:2">
      <c r="B897" s="10"/>
    </row>
    <row r="898" spans="2:2">
      <c r="B898" s="10"/>
    </row>
    <row r="899" spans="2:2">
      <c r="B899" s="10"/>
    </row>
    <row r="900" spans="2:2">
      <c r="B900" s="10"/>
    </row>
    <row r="901" spans="2:2">
      <c r="B901" s="10"/>
    </row>
    <row r="902" spans="2:2">
      <c r="B902" s="10"/>
    </row>
    <row r="903" spans="2:2">
      <c r="B903" s="10"/>
    </row>
    <row r="904" spans="2:2">
      <c r="B904" s="10"/>
    </row>
    <row r="905" spans="2:2">
      <c r="B905" s="10"/>
    </row>
    <row r="906" spans="2:2">
      <c r="B906" s="10"/>
    </row>
    <row r="907" spans="2:2">
      <c r="B907" s="10"/>
    </row>
    <row r="908" spans="2:2">
      <c r="B908" s="10"/>
    </row>
    <row r="909" spans="2:2">
      <c r="B909" s="10"/>
    </row>
    <row r="910" spans="2:2">
      <c r="B910" s="10"/>
    </row>
    <row r="911" spans="2:2">
      <c r="B911" s="10"/>
    </row>
    <row r="912" spans="2:2">
      <c r="B912" s="10"/>
    </row>
    <row r="913" spans="2:2">
      <c r="B913" s="10"/>
    </row>
    <row r="914" spans="2:2">
      <c r="B914" s="10"/>
    </row>
    <row r="915" spans="2:2">
      <c r="B915" s="10"/>
    </row>
    <row r="916" spans="2:2">
      <c r="B916" s="10"/>
    </row>
    <row r="917" spans="2:2">
      <c r="B917" s="10"/>
    </row>
    <row r="918" spans="2:2">
      <c r="B918" s="10"/>
    </row>
    <row r="919" spans="2:2">
      <c r="B919" s="10"/>
    </row>
    <row r="920" spans="2:2">
      <c r="B920" s="10"/>
    </row>
    <row r="921" spans="2:2">
      <c r="B921" s="10"/>
    </row>
    <row r="922" spans="2:2">
      <c r="B922" s="10"/>
    </row>
    <row r="923" spans="2:2">
      <c r="B923" s="10"/>
    </row>
    <row r="924" spans="2:2">
      <c r="B924" s="10"/>
    </row>
    <row r="925" spans="2:2">
      <c r="B925" s="10"/>
    </row>
    <row r="926" spans="2:2">
      <c r="B926" s="10"/>
    </row>
    <row r="927" spans="2:2">
      <c r="B927" s="10"/>
    </row>
    <row r="928" spans="2:2">
      <c r="B928" s="10"/>
    </row>
    <row r="929" spans="2:2">
      <c r="B929" s="10"/>
    </row>
    <row r="930" spans="2:2">
      <c r="B930" s="10"/>
    </row>
    <row r="931" spans="2:2">
      <c r="B931" s="10"/>
    </row>
    <row r="932" spans="2:2">
      <c r="B932" s="10"/>
    </row>
    <row r="933" spans="2:2">
      <c r="B933" s="10"/>
    </row>
    <row r="934" spans="2:2">
      <c r="B934" s="10"/>
    </row>
    <row r="935" spans="2:2">
      <c r="B935" s="10"/>
    </row>
    <row r="936" spans="2:2">
      <c r="B936" s="10"/>
    </row>
    <row r="937" spans="2:2">
      <c r="B937" s="10"/>
    </row>
    <row r="938" spans="2:2">
      <c r="B938" s="10"/>
    </row>
    <row r="939" spans="2:2">
      <c r="B939" s="10"/>
    </row>
    <row r="940" spans="2:2">
      <c r="B940" s="10"/>
    </row>
    <row r="941" spans="2:2">
      <c r="B941" s="10"/>
    </row>
    <row r="942" spans="2:2">
      <c r="B942" s="10"/>
    </row>
    <row r="943" spans="2:2">
      <c r="B943" s="10"/>
    </row>
    <row r="944" spans="2:2">
      <c r="B944" s="10"/>
    </row>
    <row r="945" spans="2:2">
      <c r="B945" s="10"/>
    </row>
    <row r="946" spans="2:2">
      <c r="B946" s="10"/>
    </row>
    <row r="947" spans="2:2">
      <c r="B947" s="10"/>
    </row>
    <row r="948" spans="2:2">
      <c r="B948" s="10"/>
    </row>
    <row r="949" spans="2:2">
      <c r="B949" s="10"/>
    </row>
    <row r="950" spans="2:2">
      <c r="B950" s="10"/>
    </row>
    <row r="951" spans="2:2">
      <c r="B951" s="10"/>
    </row>
    <row r="952" spans="2:2">
      <c r="B952" s="10"/>
    </row>
    <row r="953" spans="2:2">
      <c r="B953" s="10"/>
    </row>
    <row r="954" spans="2:2">
      <c r="B954" s="10"/>
    </row>
    <row r="955" spans="2:2">
      <c r="B955" s="10"/>
    </row>
    <row r="956" spans="2:2">
      <c r="B956" s="10"/>
    </row>
    <row r="957" spans="2:2">
      <c r="B957" s="10"/>
    </row>
    <row r="958" spans="2:2">
      <c r="B958" s="10"/>
    </row>
    <row r="959" spans="2:2">
      <c r="B959" s="10"/>
    </row>
    <row r="960" spans="2:2">
      <c r="B960" s="10"/>
    </row>
    <row r="961" spans="2:2">
      <c r="B961" s="10"/>
    </row>
    <row r="962" spans="2:2">
      <c r="B962" s="10"/>
    </row>
    <row r="963" spans="2:2">
      <c r="B963" s="10"/>
    </row>
    <row r="964" spans="2:2">
      <c r="B964" s="10"/>
    </row>
    <row r="965" spans="2:2">
      <c r="B965" s="10"/>
    </row>
    <row r="966" spans="2:2">
      <c r="B966" s="10"/>
    </row>
    <row r="967" spans="2:2">
      <c r="B967" s="10"/>
    </row>
    <row r="968" spans="2:2">
      <c r="B968" s="10"/>
    </row>
    <row r="969" spans="2:2">
      <c r="B969" s="10"/>
    </row>
    <row r="970" spans="2:2">
      <c r="B970" s="10"/>
    </row>
    <row r="971" spans="2:2">
      <c r="B971" s="10"/>
    </row>
    <row r="972" spans="2:2">
      <c r="B972" s="10"/>
    </row>
    <row r="973" spans="2:2">
      <c r="B973" s="10"/>
    </row>
    <row r="974" spans="2:2">
      <c r="B974" s="10"/>
    </row>
    <row r="975" spans="2:2">
      <c r="B975" s="10"/>
    </row>
    <row r="976" spans="2:2">
      <c r="B976" s="10"/>
    </row>
    <row r="977" spans="2:2">
      <c r="B977" s="10"/>
    </row>
    <row r="978" spans="2:2">
      <c r="B978" s="10"/>
    </row>
    <row r="979" spans="2:2">
      <c r="B979" s="10"/>
    </row>
    <row r="980" spans="2:2">
      <c r="B980" s="10"/>
    </row>
    <row r="981" spans="2:2">
      <c r="B981" s="10"/>
    </row>
    <row r="982" spans="2:2">
      <c r="B982" s="10"/>
    </row>
    <row r="983" spans="2:2">
      <c r="B983" s="10"/>
    </row>
    <row r="984" spans="2:2">
      <c r="B984" s="10"/>
    </row>
    <row r="985" spans="2:2">
      <c r="B985" s="10"/>
    </row>
    <row r="986" spans="2:2">
      <c r="B986" s="10"/>
    </row>
    <row r="987" spans="2:2">
      <c r="B987" s="10"/>
    </row>
    <row r="988" spans="2:2">
      <c r="B988" s="10"/>
    </row>
    <row r="989" spans="2:2">
      <c r="B989" s="10"/>
    </row>
    <row r="990" spans="2:2">
      <c r="B990" s="10"/>
    </row>
    <row r="991" spans="2:2">
      <c r="B991" s="10"/>
    </row>
    <row r="992" spans="2:2">
      <c r="B992" s="10"/>
    </row>
    <row r="993" spans="2:2">
      <c r="B993" s="10"/>
    </row>
    <row r="994" spans="2:2">
      <c r="B994" s="10"/>
    </row>
    <row r="995" spans="2:2">
      <c r="B995" s="10"/>
    </row>
    <row r="996" spans="2:2">
      <c r="B996" s="10"/>
    </row>
    <row r="997" spans="2:2">
      <c r="B997" s="10"/>
    </row>
    <row r="998" spans="2:2">
      <c r="B998" s="10"/>
    </row>
    <row r="999" spans="2:2">
      <c r="B999" s="10"/>
    </row>
    <row r="1000" spans="2:2">
      <c r="B1000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topLeftCell="A104" zoomScaleNormal="100" workbookViewId="0">
      <selection activeCell="H110" sqref="H110"/>
    </sheetView>
  </sheetViews>
  <sheetFormatPr defaultColWidth="12.5703125" defaultRowHeight="14.25"/>
  <cols>
    <col min="1" max="4" width="28.85546875" style="2" customWidth="1"/>
  </cols>
  <sheetData>
    <row r="1" spans="1:4">
      <c r="A1" s="2" t="s">
        <v>0</v>
      </c>
      <c r="B1" s="13" t="s">
        <v>1</v>
      </c>
      <c r="C1" s="2" t="s">
        <v>2</v>
      </c>
      <c r="D1" s="2" t="s">
        <v>3</v>
      </c>
    </row>
    <row r="2" spans="1:4" ht="28.5">
      <c r="A2" s="12">
        <v>127534</v>
      </c>
      <c r="B2" s="14" t="str">
        <f ca="1">IFERROR(__xludf.dummyfunction("IMPORTXML(getIdItems(""https://www.lustrof.ru/category/ofis/kanctovary/kantselyarskie-melochi/?page="",6),""//span[@class='products__item-info-name']"")"),"Набор из 30 шт, Скрепки STAFF (226758)")</f>
        <v>Набор из 30 шт, Скрепки STAFF (226758)</v>
      </c>
      <c r="C2" s="12" t="str">
        <f ca="1">IFERROR(__xludf.dummyfunction("IMPORTXML(getIdItems(""https://www.lustrof.ru/category/ofis/kanctovary/kantselyarskie-melochi/?page="",5),""//span[@class='products__available-in-stock']"")"),"В наличии 283")</f>
        <v>В наличии 283</v>
      </c>
      <c r="D2" s="12">
        <f ca="1">IFERROR(__xludf.dummyfunction("IMPORTXML(getIdItems(""https://www.lustrof.ru/category/ofis/kanctovary/kantselyarskie-melochi/?page="",1),""//span[@class='products__price-new']/text()"")"),567)</f>
        <v>567</v>
      </c>
    </row>
    <row r="3" spans="1:4" ht="28.5">
      <c r="A3" s="2">
        <v>127702</v>
      </c>
      <c r="B3" s="13" t="str">
        <f ca="1">IFERROR(__xludf.dummyfunction("""COMPUTED_VALUE"""),"Набор из 30 шт, Скрепки STAFF (226821)")</f>
        <v>Набор из 30 шт, Скрепки STAFF (226821)</v>
      </c>
      <c r="C3" s="2" t="str">
        <f ca="1">IFERROR(__xludf.dummyfunction("""COMPUTED_VALUE"""),"В наличии 688")</f>
        <v>В наличии 688</v>
      </c>
      <c r="D3" s="2">
        <f ca="1">IFERROR(__xludf.dummyfunction("""COMPUTED_VALUE"""),546)</f>
        <v>546</v>
      </c>
    </row>
    <row r="4" spans="1:4" ht="85.5">
      <c r="A4" s="2">
        <v>127864</v>
      </c>
      <c r="B4" s="13" t="str">
        <f ca="1">IFERROR(__xludf.dummyfunction("""COMPUTED_VALUE"""),"Набор из 30 шт, Скрепки STAFF, 25 мм, оцинкованные, треугольные, 100 шт., в 
картонной коробке, 270442 (270442)")</f>
        <v>Набор из 30 шт, Скрепки STAFF, 25 мм, оцинкованные, треугольные, 100 шт., в 
картонной коробке, 270442 (270442)</v>
      </c>
      <c r="C4" s="2" t="str">
        <f ca="1">IFERROR(__xludf.dummyfunction("""COMPUTED_VALUE"""),"В наличии 1682")</f>
        <v>В наличии 1682</v>
      </c>
      <c r="D4" s="2">
        <f ca="1">IFERROR(__xludf.dummyfunction("""COMPUTED_VALUE"""),225)</f>
        <v>225</v>
      </c>
    </row>
    <row r="5" spans="1:4" ht="71.25">
      <c r="A5" s="2">
        <v>127912</v>
      </c>
      <c r="B5" s="13" t="str">
        <f ca="1">IFERROR(__xludf.dummyfunction("""COMPUTED_VALUE"""),"Набор из 30 шт, Скрепки STAFF, 33 мм, оцинкованные, 100 шт., в картонной 
коробке, 270445 (270445)")</f>
        <v>Набор из 30 шт, Скрепки STAFF, 33 мм, оцинкованные, 100 шт., в картонной 
коробке, 270445 (270445)</v>
      </c>
      <c r="C5" s="2" t="str">
        <f ca="1">IFERROR(__xludf.dummyfunction("""COMPUTED_VALUE"""),"В наличии 209")</f>
        <v>В наличии 209</v>
      </c>
      <c r="D5" s="2">
        <f ca="1">IFERROR(__xludf.dummyfunction("""COMPUTED_VALUE"""),197)</f>
        <v>197</v>
      </c>
    </row>
    <row r="6" spans="1:4" ht="28.5">
      <c r="A6" s="2">
        <v>128194</v>
      </c>
      <c r="B6" s="13" t="str">
        <f ca="1">IFERROR(__xludf.dummyfunction("""COMPUTED_VALUE"""),"Набор из 30 шт, Скрепки большие 50 мм (221533)")</f>
        <v>Набор из 30 шт, Скрепки большие 50 мм (221533)</v>
      </c>
      <c r="C6" s="2" t="str">
        <f ca="1">IFERROR(__xludf.dummyfunction("""COMPUTED_VALUE"""),"В наличии 9525")</f>
        <v>В наличии 9525</v>
      </c>
      <c r="D6" s="2">
        <f ca="1">IFERROR(__xludf.dummyfunction("""COMPUTED_VALUE"""),226)</f>
        <v>226</v>
      </c>
    </row>
    <row r="7" spans="1:4" ht="28.5">
      <c r="A7" s="2">
        <v>128487</v>
      </c>
      <c r="B7" s="13" t="str">
        <f ca="1">IFERROR(__xludf.dummyfunction("""COMPUTED_VALUE"""),"Набор из 30 шт, Скрепки ОФИСМАГ (225153)")</f>
        <v>Набор из 30 шт, Скрепки ОФИСМАГ (225153)</v>
      </c>
      <c r="C7" s="2" t="str">
        <f ca="1">IFERROR(__xludf.dummyfunction("""COMPUTED_VALUE"""),"В наличии 419")</f>
        <v>В наличии 419</v>
      </c>
      <c r="D7" s="2">
        <f ca="1">IFERROR(__xludf.dummyfunction("""COMPUTED_VALUE"""),379)</f>
        <v>379</v>
      </c>
    </row>
    <row r="8" spans="1:4" ht="85.5">
      <c r="A8" s="2">
        <v>128739</v>
      </c>
      <c r="B8" s="13" t="str">
        <f ca="1">IFERROR(__xludf.dummyfunction("""COMPUTED_VALUE"""),"Набор из 30 шт, Скрепки ОФИСМАГ, 25 мм, никелированные, треугольные, 100 
шт., в картонной коробке, 270441 (270441)")</f>
        <v>Набор из 30 шт, Скрепки ОФИСМАГ, 25 мм, никелированные, треугольные, 100 
шт., в картонной коробке, 270441 (270441)</v>
      </c>
      <c r="C8" s="2" t="str">
        <f ca="1">IFERROR(__xludf.dummyfunction("""COMPUTED_VALUE"""),"В наличии 105")</f>
        <v>В наличии 105</v>
      </c>
      <c r="D8" s="2">
        <f ca="1">IFERROR(__xludf.dummyfunction("""COMPUTED_VALUE"""),276)</f>
        <v>276</v>
      </c>
    </row>
    <row r="9" spans="1:4" ht="42.75">
      <c r="A9" s="2">
        <v>130164</v>
      </c>
      <c r="B9" s="13" t="str">
        <f ca="1">IFERROR(__xludf.dummyfunction("""COMPUTED_VALUE"""),"Набор из 30 шт, Скрепки ОФИСНАЯ ПЛАНЕТА (222043)")</f>
        <v>Набор из 30 шт, Скрепки ОФИСНАЯ ПЛАНЕТА (222043)</v>
      </c>
      <c r="C9" s="2" t="str">
        <f ca="1">IFERROR(__xludf.dummyfunction("""COMPUTED_VALUE"""),"В наличии 3569")</f>
        <v>В наличии 3569</v>
      </c>
      <c r="D9" s="2">
        <f ca="1">IFERROR(__xludf.dummyfunction("""COMPUTED_VALUE"""),321)</f>
        <v>321</v>
      </c>
    </row>
    <row r="10" spans="1:4" ht="57">
      <c r="A10" s="2">
        <v>132177</v>
      </c>
      <c r="B10" s="13" t="str">
        <f ca="1">IFERROR(__xludf.dummyfunction("""COMPUTED_VALUE"""),"Набор из 35 шт, Клей канцелярский STAFF для бумаги, картона 120 г, 229826 ")</f>
        <v xml:space="preserve">Набор из 35 шт, Клей канцелярский STAFF для бумаги, картона 120 г, 229826 </v>
      </c>
      <c r="C10" s="2" t="str">
        <f ca="1">IFERROR(__xludf.dummyfunction("""COMPUTED_VALUE"""),"В наличии 1287")</f>
        <v>В наличии 1287</v>
      </c>
      <c r="D10" s="2">
        <f ca="1">IFERROR(__xludf.dummyfunction("""COMPUTED_VALUE"""),289)</f>
        <v>289</v>
      </c>
    </row>
    <row r="11" spans="1:4" ht="57">
      <c r="A11" s="2">
        <v>132201</v>
      </c>
      <c r="B11" s="13" t="str">
        <f ca="1">IFERROR(__xludf.dummyfunction("""COMPUTED_VALUE"""),"Набор из 36 шт, Клей канцелярский STAFF 30 мл, сетчатый аппликатор, 228476")</f>
        <v>Набор из 36 шт, Клей канцелярский STAFF 30 мл, сетчатый аппликатор, 228476</v>
      </c>
      <c r="C11" s="2" t="str">
        <f ca="1">IFERROR(__xludf.dummyfunction("""COMPUTED_VALUE"""),"В наличии 86")</f>
        <v>В наличии 86</v>
      </c>
      <c r="D11" s="2">
        <f ca="1">IFERROR(__xludf.dummyfunction("""COMPUTED_VALUE"""),294)</f>
        <v>294</v>
      </c>
    </row>
    <row r="12" spans="1:4" ht="57">
      <c r="A12" s="2">
        <v>132446</v>
      </c>
      <c r="B12" s="13" t="str">
        <f ca="1">IFERROR(__xludf.dummyfunction("""COMPUTED_VALUE"""),"Набор из 36 шт, Клей канцелярский STAFF, 50 мл, сетчатый аппликатор, 228408")</f>
        <v>Набор из 36 шт, Клей канцелярский STAFF, 50 мл, сетчатый аппликатор, 228408</v>
      </c>
      <c r="C12" s="2" t="str">
        <f ca="1">IFERROR(__xludf.dummyfunction("""COMPUTED_VALUE"""),"В наличии 86")</f>
        <v>В наличии 86</v>
      </c>
      <c r="D12" s="2">
        <f ca="1">IFERROR(__xludf.dummyfunction("""COMPUTED_VALUE"""),294)</f>
        <v>294</v>
      </c>
    </row>
    <row r="13" spans="1:4" ht="28.5">
      <c r="A13" s="2">
        <v>133352</v>
      </c>
      <c r="B13" s="13" t="str">
        <f ca="1">IFERROR(__xludf.dummyfunction("""COMPUTED_VALUE"""),"Набор из 36 шт, Клей-карандаш STAFF (220376)")</f>
        <v>Набор из 36 шт, Клей-карандаш STAFF (220376)</v>
      </c>
      <c r="C13" s="2" t="str">
        <f ca="1">IFERROR(__xludf.dummyfunction("""COMPUTED_VALUE"""),"В наличии 555")</f>
        <v>В наличии 555</v>
      </c>
      <c r="D13" s="2">
        <f ca="1">IFERROR(__xludf.dummyfunction("""COMPUTED_VALUE"""),169)</f>
        <v>169</v>
      </c>
    </row>
    <row r="14" spans="1:4" ht="28.5">
      <c r="A14" s="2">
        <v>134100</v>
      </c>
      <c r="B14" s="13" t="str">
        <f ca="1">IFERROR(__xludf.dummyfunction("""COMPUTED_VALUE"""),"Набор из 36 шт, Скрепки большие 50 мм (223090)")</f>
        <v>Набор из 36 шт, Скрепки большие 50 мм (223090)</v>
      </c>
      <c r="C14" s="2" t="str">
        <f ca="1">IFERROR(__xludf.dummyfunction("""COMPUTED_VALUE"""),"В наличии 1")</f>
        <v>В наличии 1</v>
      </c>
      <c r="D14" s="2">
        <f ca="1">IFERROR(__xludf.dummyfunction("""COMPUTED_VALUE"""),226)</f>
        <v>226</v>
      </c>
    </row>
    <row r="15" spans="1:4" ht="42.75">
      <c r="A15" s="2">
        <v>134283</v>
      </c>
      <c r="B15" s="13" t="str">
        <f ca="1">IFERROR(__xludf.dummyfunction("""COMPUTED_VALUE"""),"Набор из 4 шт, Булавки-флажки маркировочные BRAUBERG (221537)")</f>
        <v>Набор из 4 шт, Булавки-флажки маркировочные BRAUBERG (221537)</v>
      </c>
      <c r="C15" s="2" t="str">
        <f ca="1">IFERROR(__xludf.dummyfunction("""COMPUTED_VALUE"""),"В наличии 507")</f>
        <v>В наличии 507</v>
      </c>
      <c r="D15" s="2">
        <f ca="1">IFERROR(__xludf.dummyfunction("""COMPUTED_VALUE"""),379)</f>
        <v>379</v>
      </c>
    </row>
    <row r="16" spans="1:4" ht="28.5">
      <c r="A16" s="2">
        <v>134296</v>
      </c>
      <c r="B16" s="13" t="str">
        <f ca="1">IFERROR(__xludf.dummyfunction("""COMPUTED_VALUE"""),"Набор из 4 шт, Зажимы для бумаг BRAUBERG (220560)")</f>
        <v>Набор из 4 шт, Зажимы для бумаг BRAUBERG (220560)</v>
      </c>
      <c r="C16" s="2" t="str">
        <f ca="1">IFERROR(__xludf.dummyfunction("""COMPUTED_VALUE"""),"В наличии 13")</f>
        <v>В наличии 13</v>
      </c>
      <c r="D16" s="2">
        <f ca="1">IFERROR(__xludf.dummyfunction("""COMPUTED_VALUE"""),294)</f>
        <v>294</v>
      </c>
    </row>
    <row r="17" spans="1:4" ht="28.5">
      <c r="A17" s="2">
        <v>134857</v>
      </c>
      <c r="B17" s="13" t="str">
        <f ca="1">IFERROR(__xludf.dummyfunction("""COMPUTED_VALUE"""),"Набор из 4 шт, Зажимы для бумаг STAFF (225160)")</f>
        <v>Набор из 4 шт, Зажимы для бумаг STAFF (225160)</v>
      </c>
      <c r="C17" s="2" t="str">
        <f ca="1">IFERROR(__xludf.dummyfunction("""COMPUTED_VALUE"""),"В наличии 554")</f>
        <v>В наличии 554</v>
      </c>
      <c r="D17" s="2">
        <f ca="1">IFERROR(__xludf.dummyfunction("""COMPUTED_VALUE"""),485)</f>
        <v>485</v>
      </c>
    </row>
    <row r="18" spans="1:4" ht="28.5">
      <c r="A18" s="2">
        <v>135209</v>
      </c>
      <c r="B18" s="13" t="str">
        <f ca="1">IFERROR(__xludf.dummyfunction("""COMPUTED_VALUE"""),"Набор из 4 шт, Зажимы для бумаг STAFF (226252)")</f>
        <v>Набор из 4 шт, Зажимы для бумаг STAFF (226252)</v>
      </c>
      <c r="C18" s="2" t="str">
        <f ca="1">IFERROR(__xludf.dummyfunction("""COMPUTED_VALUE"""),"В наличии 16")</f>
        <v>В наличии 16</v>
      </c>
      <c r="D18" s="2">
        <f ca="1">IFERROR(__xludf.dummyfunction("""COMPUTED_VALUE"""),430)</f>
        <v>430</v>
      </c>
    </row>
    <row r="19" spans="1:4" ht="42.75">
      <c r="A19" s="2">
        <v>135438</v>
      </c>
      <c r="B19" s="13" t="str">
        <f ca="1">IFERROR(__xludf.dummyfunction("""COMPUTED_VALUE"""),"Набор из 4 шт, Зажимы-бульдоги для бумаг BRAUBERG (223512)")</f>
        <v>Набор из 4 шт, Зажимы-бульдоги для бумаг BRAUBERG (223512)</v>
      </c>
      <c r="C19" s="2" t="str">
        <f ca="1">IFERROR(__xludf.dummyfunction("""COMPUTED_VALUE"""),"В наличии 3370")</f>
        <v>В наличии 3370</v>
      </c>
      <c r="D19" s="2">
        <f ca="1">IFERROR(__xludf.dummyfunction("""COMPUTED_VALUE"""),311)</f>
        <v>311</v>
      </c>
    </row>
    <row r="20" spans="1:4" ht="71.25">
      <c r="A20" s="2">
        <v>135878</v>
      </c>
      <c r="B20" s="13" t="str">
        <f ca="1">IFERROR(__xludf.dummyfunction("""COMPUTED_VALUE"""),"Набор из 4 шт, Клей ПВА Экстра Суперпрочный 0,5 кг (керамика, ткань, кожа, 
дерево, бумага, картон), ЛАЙМА, 606430")</f>
        <v>Набор из 4 шт, Клей ПВА Экстра Суперпрочный 0,5 кг (керамика, ткань, кожа, 
дерево, бумага, картон), ЛАЙМА, 606430</v>
      </c>
      <c r="C20" s="2" t="str">
        <f ca="1">IFERROR(__xludf.dummyfunction("""COMPUTED_VALUE"""),"В наличии 5349")</f>
        <v>В наличии 5349</v>
      </c>
      <c r="D20" s="2">
        <f ca="1">IFERROR(__xludf.dummyfunction("""COMPUTED_VALUE"""),349)</f>
        <v>349</v>
      </c>
    </row>
    <row r="21" spans="1:4" ht="85.5">
      <c r="A21" s="2">
        <v>136784</v>
      </c>
      <c r="B21" s="13" t="str">
        <f ca="1">IFERROR(__xludf.dummyfunction("""COMPUTED_VALUE"""),"Набор из 4 шт, Клейкие ленты 19 мм х 33 м канцелярские BRAUBERG, комплект 
12 шт., прозрачные (223125)")</f>
        <v>Набор из 4 шт, Клейкие ленты 19 мм х 33 м канцелярские BRAUBERG, комплект 
12 шт., прозрачные (223125)</v>
      </c>
      <c r="C21" s="2" t="str">
        <f ca="1">IFERROR(__xludf.dummyfunction("""COMPUTED_VALUE"""),"В наличии 2220")</f>
        <v>В наличии 2220</v>
      </c>
      <c r="D21" s="2">
        <f ca="1">IFERROR(__xludf.dummyfunction("""COMPUTED_VALUE"""),343)</f>
        <v>343</v>
      </c>
    </row>
    <row r="22" spans="1:4" ht="99.75">
      <c r="A22" s="2">
        <v>137711</v>
      </c>
      <c r="B22" s="13" t="str">
        <f ca="1">IFERROR(__xludf.dummyfunction("""COMPUTED_VALUE"""),"Набор из 4 шт, Клейкие ленты 19 мм х 33 м канцелярские STAFF CLASSIC, 
КОМПЛЕКТ 12 шт., прозрачные, 271261 (271261)")</f>
        <v>Набор из 4 шт, Клейкие ленты 19 мм х 33 м канцелярские STAFF CLASSIC, 
КОМПЛЕКТ 12 шт., прозрачные, 271261 (271261)</v>
      </c>
      <c r="C22" s="2" t="str">
        <f ca="1">IFERROR(__xludf.dummyfunction("""COMPUTED_VALUE"""),"В наличии 3962")</f>
        <v>В наличии 3962</v>
      </c>
      <c r="D22" s="2">
        <f ca="1">IFERROR(__xludf.dummyfunction("""COMPUTED_VALUE"""),360)</f>
        <v>360</v>
      </c>
    </row>
    <row r="23" spans="1:4" ht="28.5">
      <c r="A23" s="2">
        <v>137714</v>
      </c>
      <c r="B23" s="13" t="str">
        <f ca="1">IFERROR(__xludf.dummyfunction("""COMPUTED_VALUE"""),"Набор из 4 шт, Набор ОФИСМАГ (226256)")</f>
        <v>Набор из 4 шт, Набор ОФИСМАГ (226256)</v>
      </c>
      <c r="C23" s="2" t="str">
        <f ca="1">IFERROR(__xludf.dummyfunction("""COMPUTED_VALUE"""),"В наличии 54")</f>
        <v>В наличии 54</v>
      </c>
      <c r="D23" s="2">
        <f ca="1">IFERROR(__xludf.dummyfunction("""COMPUTED_VALUE"""),602)</f>
        <v>602</v>
      </c>
    </row>
    <row r="24" spans="1:4" ht="57">
      <c r="A24" s="2">
        <v>138846</v>
      </c>
      <c r="B24" s="13" t="str">
        <f ca="1">IFERROR(__xludf.dummyfunction("""COMPUTED_VALUE"""),"Набор из 4 шт, Скрепочница магнитная ОФИСМАГ с 30 скрепками (225192)")</f>
        <v>Набор из 4 шт, Скрепочница магнитная ОФИСМАГ с 30 скрепками (225192)</v>
      </c>
      <c r="C24" s="2" t="str">
        <f ca="1">IFERROR(__xludf.dummyfunction("""COMPUTED_VALUE"""),"В наличии 1117")</f>
        <v>В наличии 1117</v>
      </c>
      <c r="D24" s="2">
        <f ca="1">IFERROR(__xludf.dummyfunction("""COMPUTED_VALUE"""),50)</f>
        <v>50</v>
      </c>
    </row>
    <row r="25" spans="1:4" ht="28.5">
      <c r="A25" s="2">
        <v>138964</v>
      </c>
      <c r="B25" s="13" t="str">
        <f ca="1">IFERROR(__xludf.dummyfunction("""COMPUTED_VALUE"""),"Набор из 40 шт, Клей ПВА с кисточкой (228420)")</f>
        <v>Набор из 40 шт, Клей ПВА с кисточкой (228420)</v>
      </c>
      <c r="C25" s="2" t="str">
        <f ca="1">IFERROR(__xludf.dummyfunction("""COMPUTED_VALUE"""),"В наличии 60")</f>
        <v>В наличии 60</v>
      </c>
      <c r="D25" s="2">
        <f ca="1">IFERROR(__xludf.dummyfunction("""COMPUTED_VALUE"""),371)</f>
        <v>371</v>
      </c>
    </row>
    <row r="26" spans="1:4" ht="42.75">
      <c r="A26" s="2">
        <v>139480</v>
      </c>
      <c r="B26" s="13" t="str">
        <f ca="1">IFERROR(__xludf.dummyfunction("""COMPUTED_VALUE"""),"Набор из 40 шт, Клей ПВА ЮНЛАНДИЯ (бумага (227379)")</f>
        <v>Набор из 40 шт, Клей ПВА ЮНЛАНДИЯ (бумага (227379)</v>
      </c>
      <c r="C26" s="2" t="str">
        <f ca="1">IFERROR(__xludf.dummyfunction("""COMPUTED_VALUE"""),"В наличии 190")</f>
        <v>В наличии 190</v>
      </c>
      <c r="D26" s="2">
        <f ca="1">IFERROR(__xludf.dummyfunction("""COMPUTED_VALUE"""),682)</f>
        <v>682</v>
      </c>
    </row>
    <row r="27" spans="1:4" ht="42.75">
      <c r="A27" s="2">
        <v>140754</v>
      </c>
      <c r="B27" s="13" t="str">
        <f ca="1">IFERROR(__xludf.dummyfunction("""COMPUTED_VALUE"""),"Набор из 40 шт, Клей ПВА ЮНЛАНДИЯ (бумага (227380)")</f>
        <v>Набор из 40 шт, Клей ПВА ЮНЛАНДИЯ (бумага (227380)</v>
      </c>
      <c r="C27" s="2" t="str">
        <f ca="1">IFERROR(__xludf.dummyfunction("""COMPUTED_VALUE"""),"В наличии 1368")</f>
        <v>В наличии 1368</v>
      </c>
      <c r="D27" s="2">
        <f ca="1">IFERROR(__xludf.dummyfunction("""COMPUTED_VALUE"""),266)</f>
        <v>266</v>
      </c>
    </row>
    <row r="28" spans="1:4" ht="42.75">
      <c r="A28" s="2">
        <v>141049</v>
      </c>
      <c r="B28" s="13" t="str">
        <f ca="1">IFERROR(__xludf.dummyfunction("""COMPUTED_VALUE"""),"Набор из 40 шт, Кнопки канцелярские STAFF (220009)")</f>
        <v>Набор из 40 шт, Кнопки канцелярские STAFF (220009)</v>
      </c>
      <c r="C28" s="2" t="str">
        <f ca="1">IFERROR(__xludf.dummyfunction("""COMPUTED_VALUE"""),"В наличии 1616")</f>
        <v>В наличии 1616</v>
      </c>
      <c r="D28" s="2">
        <f ca="1">IFERROR(__xludf.dummyfunction("""COMPUTED_VALUE"""),328)</f>
        <v>328</v>
      </c>
    </row>
    <row r="29" spans="1:4" ht="42.75">
      <c r="A29" s="2">
        <v>142028</v>
      </c>
      <c r="B29" s="13" t="str">
        <f ca="1">IFERROR(__xludf.dummyfunction("""COMPUTED_VALUE"""),"Набор из 40 шт, Кнопки канцелярские STAFF (220998)")</f>
        <v>Набор из 40 шт, Кнопки канцелярские STAFF (220998)</v>
      </c>
      <c r="C29" s="2" t="str">
        <f ca="1">IFERROR(__xludf.dummyfunction("""COMPUTED_VALUE"""),"В наличии 374")</f>
        <v>В наличии 374</v>
      </c>
      <c r="D29" s="2">
        <f ca="1">IFERROR(__xludf.dummyfunction("""COMPUTED_VALUE"""),533)</f>
        <v>533</v>
      </c>
    </row>
    <row r="30" spans="1:4" ht="42.75">
      <c r="A30" s="2">
        <v>142932</v>
      </c>
      <c r="B30" s="13" t="str">
        <f ca="1">IFERROR(__xludf.dummyfunction("""COMPUTED_VALUE"""),"Набор из 40 шт, Кнопки канцелярские STAFF (225286)")</f>
        <v>Набор из 40 шт, Кнопки канцелярские STAFF (225286)</v>
      </c>
      <c r="C30" s="2" t="str">
        <f ca="1">IFERROR(__xludf.dummyfunction("""COMPUTED_VALUE"""),"В наличии 681")</f>
        <v>В наличии 681</v>
      </c>
      <c r="D30" s="2">
        <f ca="1">IFERROR(__xludf.dummyfunction("""COMPUTED_VALUE"""),204)</f>
        <v>204</v>
      </c>
    </row>
    <row r="31" spans="1:4" ht="28.5">
      <c r="A31" s="2">
        <v>143134</v>
      </c>
      <c r="B31" s="13" t="str">
        <f ca="1">IFERROR(__xludf.dummyfunction("""COMPUTED_VALUE"""),"Набор из 40 шт, Скрепки STAFF (220012)")</f>
        <v>Набор из 40 шт, Скрепки STAFF (220012)</v>
      </c>
      <c r="C31" s="2" t="str">
        <f ca="1">IFERROR(__xludf.dummyfunction("""COMPUTED_VALUE"""),"В наличии 1517")</f>
        <v>В наличии 1517</v>
      </c>
      <c r="D31" s="2">
        <f ca="1">IFERROR(__xludf.dummyfunction("""COMPUTED_VALUE"""),165)</f>
        <v>165</v>
      </c>
    </row>
    <row r="32" spans="1:4" ht="28.5">
      <c r="A32" s="2">
        <v>143244</v>
      </c>
      <c r="B32" s="13" t="str">
        <f ca="1">IFERROR(__xludf.dummyfunction("""COMPUTED_VALUE"""),"Набор из 40 шт, Скрепки STAFF (220302)")</f>
        <v>Набор из 40 шт, Скрепки STAFF (220302)</v>
      </c>
      <c r="C32" s="2" t="str">
        <f ca="1">IFERROR(__xludf.dummyfunction("""COMPUTED_VALUE"""),"В наличии 4726")</f>
        <v>В наличии 4726</v>
      </c>
      <c r="D32" s="2">
        <f ca="1">IFERROR(__xludf.dummyfunction("""COMPUTED_VALUE"""),650)</f>
        <v>650</v>
      </c>
    </row>
    <row r="33" spans="1:4" ht="28.5">
      <c r="A33" s="2">
        <v>143336</v>
      </c>
      <c r="B33" s="13" t="str">
        <f ca="1">IFERROR(__xludf.dummyfunction("""COMPUTED_VALUE"""),"Набор из 40 шт, Скрепки STAFF (224799)")</f>
        <v>Набор из 40 шт, Скрепки STAFF (224799)</v>
      </c>
      <c r="C33" s="2" t="str">
        <f ca="1">IFERROR(__xludf.dummyfunction("""COMPUTED_VALUE"""),"В наличии 642")</f>
        <v>В наличии 642</v>
      </c>
      <c r="D33" s="2">
        <f ca="1">IFERROR(__xludf.dummyfunction("""COMPUTED_VALUE"""),110)</f>
        <v>110</v>
      </c>
    </row>
    <row r="34" spans="1:4" ht="57">
      <c r="A34" s="2">
        <v>143775</v>
      </c>
      <c r="B34" s="13" t="str">
        <f ca="1">IFERROR(__xludf.dummyfunction("""COMPUTED_VALUE"""),"Набор из 48 шт, Клей-карандаш STAFF EVERYDAY, 25 г, 228664 (228664)")</f>
        <v>Набор из 48 шт, Клей-карандаш STAFF EVERYDAY, 25 г, 228664 (228664)</v>
      </c>
      <c r="C34" s="2" t="str">
        <f ca="1">IFERROR(__xludf.dummyfunction("""COMPUTED_VALUE"""),"В наличии 149")</f>
        <v>В наличии 149</v>
      </c>
      <c r="D34" s="2">
        <f ca="1">IFERROR(__xludf.dummyfunction("""COMPUTED_VALUE"""),310)</f>
        <v>310</v>
      </c>
    </row>
    <row r="35" spans="1:4" ht="71.25">
      <c r="A35" s="2">
        <v>144692</v>
      </c>
      <c r="B35" s="13" t="str">
        <f ca="1">IFERROR(__xludf.dummyfunction("""COMPUTED_VALUE"""),"Набор из 48 шт, Клей-карандаш STAFF Profit, 8 г, PVP-основа, НОВАЯ ФОРМУЛА, 
228660 (228660)")</f>
        <v>Набор из 48 шт, Клей-карандаш STAFF Profit, 8 г, PVP-основа, НОВАЯ ФОРМУЛА, 
228660 (228660)</v>
      </c>
      <c r="C35" s="2" t="str">
        <f ca="1">IFERROR(__xludf.dummyfunction("""COMPUTED_VALUE"""),"В наличии 2119")</f>
        <v>В наличии 2119</v>
      </c>
      <c r="D35" s="2">
        <f ca="1">IFERROR(__xludf.dummyfunction("""COMPUTED_VALUE"""),660)</f>
        <v>660</v>
      </c>
    </row>
    <row r="36" spans="1:4" ht="42.75">
      <c r="A36" s="2">
        <v>145629</v>
      </c>
      <c r="B36" s="13" t="str">
        <f ca="1">IFERROR(__xludf.dummyfunction("""COMPUTED_VALUE"""),"Набор из 48 шт, Клей-карандаш ПИФАГОР (227609)")</f>
        <v>Набор из 48 шт, Клей-карандаш ПИФАГОР (227609)</v>
      </c>
      <c r="C36" s="2" t="str">
        <f ca="1">IFERROR(__xludf.dummyfunction("""COMPUTED_VALUE"""),"В наличии 5389")</f>
        <v>В наличии 5389</v>
      </c>
      <c r="D36" s="2">
        <f ca="1">IFERROR(__xludf.dummyfunction("""COMPUTED_VALUE"""),440)</f>
        <v>440</v>
      </c>
    </row>
    <row r="37" spans="1:4" ht="42.75">
      <c r="A37" s="2">
        <v>145788</v>
      </c>
      <c r="B37" s="13" t="str">
        <f ca="1">IFERROR(__xludf.dummyfunction("""COMPUTED_VALUE"""),"Набор из 48 шт, Клей-карандаш ПИФАГОР (227610)")</f>
        <v>Набор из 48 шт, Клей-карандаш ПИФАГОР (227610)</v>
      </c>
      <c r="C37" s="2" t="str">
        <f ca="1">IFERROR(__xludf.dummyfunction("""COMPUTED_VALUE"""),"В наличии 1107")</f>
        <v>В наличии 1107</v>
      </c>
      <c r="D37" s="2">
        <f ca="1">IFERROR(__xludf.dummyfunction("""COMPUTED_VALUE"""),1270)</f>
        <v>1270</v>
      </c>
    </row>
    <row r="38" spans="1:4">
      <c r="A38" s="12">
        <v>146150</v>
      </c>
      <c r="B38" s="12" t="str">
        <f ca="1">IFERROR(__xludf.dummyfunction("IMPORTXML(getIdItems(""https://www.lustrof.ru/category/ofis/kanctovary/kantselyarskie-melochi/?page="",4),""//span[@class='products__item-info-name']"")"),"Набор из 20 шт, Клей-карандаш цветной ЮНЛАНДИЯ ""ЮНЛАНДИК И ХАМЕЛЕОН"" 
(227614)")</f>
        <v>Набор из 20 шт, Клей-карандаш цветной ЮНЛАНДИЯ "ЮНЛАНДИК И ХАМЕЛЕОН" 
(227614)</v>
      </c>
      <c r="C38" s="12" t="str">
        <f ca="1">IFERROR(__xludf.dummyfunction("IMPORTXML(getIdItems(""https://www.lustrof.ru/category/ofis/kanctovary/kantselyarskie-melochi/?page="",2),""//span[@class='products__available-in-stock']"")"),"В наличии 1701")</f>
        <v>В наличии 1701</v>
      </c>
      <c r="D38" s="12">
        <f ca="1">IFERROR(__xludf.dummyfunction("IMPORTXML(getIdItems(""https://www.lustrof.ru/category/ofis/kanctovary/kantselyarskie-melochi/?page="",6),""//span[@class='products__price-new']/text()"")"),840)</f>
        <v>840</v>
      </c>
    </row>
    <row r="39" spans="1:4" ht="57">
      <c r="A39" s="2">
        <v>147426</v>
      </c>
      <c r="B39" s="13" t="str">
        <f ca="1">IFERROR(__xludf.dummyfunction("""COMPUTED_VALUE"""),"Набор из 20 шт, Клей-карандаш ЮНЛАНДИЯ ""ЮНЛАНДИК И БОЖЬЯ КОРОВКА"" (227611)")</f>
        <v>Набор из 20 шт, Клей-карандаш ЮНЛАНДИЯ "ЮНЛАНДИК И БОЖЬЯ КОРОВКА" (227611)</v>
      </c>
      <c r="C39" s="2" t="str">
        <f ca="1">IFERROR(__xludf.dummyfunction("""COMPUTED_VALUE"""),"В наличии 2155")</f>
        <v>В наличии 2155</v>
      </c>
      <c r="D39" s="2">
        <f ca="1">IFERROR(__xludf.dummyfunction("""COMPUTED_VALUE"""),1170)</f>
        <v>1170</v>
      </c>
    </row>
    <row r="40" spans="1:4" ht="57">
      <c r="A40" s="2">
        <v>147891</v>
      </c>
      <c r="B40" s="13" t="str">
        <f ca="1">IFERROR(__xludf.dummyfunction("""COMPUTED_VALUE"""),"Набор из 20 шт, Клейкие ленты 12 мм х 33 м канцелярские ОФИСМАГ (223126)")</f>
        <v>Набор из 20 шт, Клейкие ленты 12 мм х 33 м канцелярские ОФИСМАГ (223126)</v>
      </c>
      <c r="C40" s="2" t="str">
        <f ca="1">IFERROR(__xludf.dummyfunction("""COMPUTED_VALUE"""),"В наличии 1343")</f>
        <v>В наличии 1343</v>
      </c>
      <c r="D40" s="2">
        <f ca="1">IFERROR(__xludf.dummyfunction("""COMPUTED_VALUE"""),840)</f>
        <v>840</v>
      </c>
    </row>
    <row r="41" spans="1:4" ht="42.75">
      <c r="A41" s="2">
        <v>149048</v>
      </c>
      <c r="B41" s="13" t="str">
        <f ca="1">IFERROR(__xludf.dummyfunction("""COMPUTED_VALUE"""),"Набор из 20 шт, Силовые кнопки-гвоздики BRAUBERG (221117)")</f>
        <v>Набор из 20 шт, Силовые кнопки-гвоздики BRAUBERG (221117)</v>
      </c>
      <c r="C41" s="2" t="str">
        <f ca="1">IFERROR(__xludf.dummyfunction("""COMPUTED_VALUE"""),"В наличии 1243")</f>
        <v>В наличии 1243</v>
      </c>
      <c r="D41" s="2">
        <f ca="1">IFERROR(__xludf.dummyfunction("""COMPUTED_VALUE"""),780)</f>
        <v>780</v>
      </c>
    </row>
    <row r="42" spans="1:4" ht="57">
      <c r="A42" s="2">
        <v>151846</v>
      </c>
      <c r="B42" s="13" t="str">
        <f ca="1">IFERROR(__xludf.dummyfunction("""COMPUTED_VALUE"""),"Набор из 20 шт, Силовые кнопки-гвоздики прозрачные STAFF (227804)")</f>
        <v>Набор из 20 шт, Силовые кнопки-гвоздики прозрачные STAFF (227804)</v>
      </c>
      <c r="C42" s="2" t="str">
        <f ca="1">IFERROR(__xludf.dummyfunction("""COMPUTED_VALUE"""),"В наличии 3891")</f>
        <v>В наличии 3891</v>
      </c>
      <c r="D42" s="2">
        <f ca="1">IFERROR(__xludf.dummyfunction("""COMPUTED_VALUE"""),2040)</f>
        <v>2040</v>
      </c>
    </row>
    <row r="43" spans="1:4" ht="28.5">
      <c r="A43" s="2">
        <v>153844</v>
      </c>
      <c r="B43" s="13" t="str">
        <f ca="1">IFERROR(__xludf.dummyfunction("""COMPUTED_VALUE"""),"Набор из 20 шт, Скрепки BRAUBERG (221523)")</f>
        <v>Набор из 20 шт, Скрепки BRAUBERG (221523)</v>
      </c>
      <c r="C43" s="2" t="str">
        <f ca="1">IFERROR(__xludf.dummyfunction("""COMPUTED_VALUE"""),"В наличии 1868")</f>
        <v>В наличии 1868</v>
      </c>
      <c r="D43" s="2">
        <f ca="1">IFERROR(__xludf.dummyfunction("""COMPUTED_VALUE"""),1080)</f>
        <v>1080</v>
      </c>
    </row>
    <row r="44" spans="1:4" ht="28.5">
      <c r="A44" s="2">
        <v>155030</v>
      </c>
      <c r="B44" s="13" t="str">
        <f ca="1">IFERROR(__xludf.dummyfunction("""COMPUTED_VALUE"""),"Набор из 20 шт, Скрепки BRAUBERG (221529)")</f>
        <v>Набор из 20 шт, Скрепки BRAUBERG (221529)</v>
      </c>
      <c r="C44" s="2" t="str">
        <f ca="1">IFERROR(__xludf.dummyfunction("""COMPUTED_VALUE"""),"В наличии 1638")</f>
        <v>В наличии 1638</v>
      </c>
      <c r="D44" s="2">
        <f ca="1">IFERROR(__xludf.dummyfunction("""COMPUTED_VALUE"""),870)</f>
        <v>870</v>
      </c>
    </row>
    <row r="45" spans="1:4" ht="71.25">
      <c r="A45" s="2">
        <v>155081</v>
      </c>
      <c r="B45" s="13" t="str">
        <f ca="1">IFERROR(__xludf.dummyfunction("""COMPUTED_VALUE"""),"Набор из 20 шт, Скрепки BRAUBERG, 28 мм, омедненные, 100 шт., в картонной 
коробке, 270448")</f>
        <v>Набор из 20 шт, Скрепки BRAUBERG, 28 мм, омедненные, 100 шт., в картонной 
коробке, 270448</v>
      </c>
      <c r="C45" s="2" t="str">
        <f ca="1">IFERROR(__xludf.dummyfunction("""COMPUTED_VALUE"""),"В наличии 9196")</f>
        <v>В наличии 9196</v>
      </c>
      <c r="D45" s="2">
        <f ca="1">IFERROR(__xludf.dummyfunction("""COMPUTED_VALUE"""),870)</f>
        <v>870</v>
      </c>
    </row>
    <row r="46" spans="1:4" ht="71.25">
      <c r="A46" s="2">
        <v>156151</v>
      </c>
      <c r="B46" s="13" t="str">
        <f ca="1">IFERROR(__xludf.dummyfunction("""COMPUTED_VALUE"""),"Набор из 20 шт, Скрепки BRAUBERG, 33 мм, никелированные, 100 шт., в 
картонной коробке, 270443 (270443)")</f>
        <v>Набор из 20 шт, Скрепки BRAUBERG, 33 мм, никелированные, 100 шт., в 
картонной коробке, 270443 (270443)</v>
      </c>
      <c r="C46" s="2" t="str">
        <f ca="1">IFERROR(__xludf.dummyfunction("""COMPUTED_VALUE"""),"В наличии 574")</f>
        <v>В наличии 574</v>
      </c>
      <c r="D46" s="2">
        <f ca="1">IFERROR(__xludf.dummyfunction("""COMPUTED_VALUE"""),1505)</f>
        <v>1505</v>
      </c>
    </row>
    <row r="47" spans="1:4" ht="71.25">
      <c r="A47" s="2">
        <v>156230</v>
      </c>
      <c r="B47" s="13" t="str">
        <f ca="1">IFERROR(__xludf.dummyfunction("""COMPUTED_VALUE"""),"Набор из 20 шт, Скрепки BRAUBERG, 33 мм, цветные, 100 шт., в картонной 
коробке, 270444 (270444)")</f>
        <v>Набор из 20 шт, Скрепки BRAUBERG, 33 мм, цветные, 100 шт., в картонной 
коробке, 270444 (270444)</v>
      </c>
      <c r="C47" s="2" t="str">
        <f ca="1">IFERROR(__xludf.dummyfunction("""COMPUTED_VALUE"""),"В наличии 27")</f>
        <v>В наличии 27</v>
      </c>
      <c r="D47" s="2">
        <f ca="1">IFERROR(__xludf.dummyfunction("""COMPUTED_VALUE"""),540)</f>
        <v>540</v>
      </c>
    </row>
    <row r="48" spans="1:4" ht="28.5">
      <c r="A48" s="2">
        <v>156604</v>
      </c>
      <c r="B48" s="13" t="str">
        <f ca="1">IFERROR(__xludf.dummyfunction("""COMPUTED_VALUE"""),"Набор из 20 шт, Скрепки ERICH KRAUSE (222321)")</f>
        <v>Набор из 20 шт, Скрепки ERICH KRAUSE (222321)</v>
      </c>
      <c r="C48" s="2" t="str">
        <f ca="1">IFERROR(__xludf.dummyfunction("""COMPUTED_VALUE"""),"В наличии 669")</f>
        <v>В наличии 669</v>
      </c>
      <c r="D48" s="2">
        <f ca="1">IFERROR(__xludf.dummyfunction("""COMPUTED_VALUE"""),648)</f>
        <v>648</v>
      </c>
    </row>
    <row r="49" spans="1:4" ht="28.5">
      <c r="A49" s="2">
        <v>157159</v>
      </c>
      <c r="B49" s="13" t="str">
        <f ca="1">IFERROR(__xludf.dummyfunction("""COMPUTED_VALUE"""),"Набор из 20 шт, Скрепки большие 50 мм (224800)")</f>
        <v>Набор из 20 шт, Скрепки большие 50 мм (224800)</v>
      </c>
      <c r="C49" s="2" t="str">
        <f ca="1">IFERROR(__xludf.dummyfunction("""COMPUTED_VALUE"""),"В наличии 445")</f>
        <v>В наличии 445</v>
      </c>
      <c r="D49" s="2">
        <f ca="1">IFERROR(__xludf.dummyfunction("""COMPUTED_VALUE"""),792)</f>
        <v>792</v>
      </c>
    </row>
    <row r="50" spans="1:4" ht="28.5">
      <c r="A50" s="2">
        <v>157443</v>
      </c>
      <c r="B50" s="13" t="str">
        <f ca="1">IFERROR(__xludf.dummyfunction("""COMPUTED_VALUE"""),"Набор из 20 шт, Скрепки большие 50 мм (227589)")</f>
        <v>Набор из 20 шт, Скрепки большие 50 мм (227589)</v>
      </c>
      <c r="C50" s="2" t="str">
        <f ca="1">IFERROR(__xludf.dummyfunction("""COMPUTED_VALUE"""),"В наличии 515")</f>
        <v>В наличии 515</v>
      </c>
      <c r="D50" s="2">
        <f ca="1">IFERROR(__xludf.dummyfunction("""COMPUTED_VALUE"""),1980)</f>
        <v>1980</v>
      </c>
    </row>
    <row r="51" spans="1:4" ht="99.75">
      <c r="A51" s="2">
        <v>157612</v>
      </c>
      <c r="B51" s="13" t="str">
        <f ca="1">IFERROR(__xludf.dummyfunction("""COMPUTED_VALUE"""),"Набор из 20 шт, Скрепки большие 50 мм, BRAUBERG, оцинкованные, 
гофрированные, 50 шт., в картонной коробке, 270446 (270446)")</f>
        <v>Набор из 20 шт, Скрепки большие 50 мм, BRAUBERG, оцинкованные, 
гофрированные, 50 шт., в картонной коробке, 270446 (270446)</v>
      </c>
      <c r="C51" s="2" t="str">
        <f ca="1">IFERROR(__xludf.dummyfunction("""COMPUTED_VALUE"""),"В наличии 1021")</f>
        <v>В наличии 1021</v>
      </c>
      <c r="D51" s="2">
        <f ca="1">IFERROR(__xludf.dummyfunction("""COMPUTED_VALUE"""),388)</f>
        <v>388</v>
      </c>
    </row>
    <row r="52" spans="1:4" ht="71.25">
      <c r="A52" s="2">
        <v>158604</v>
      </c>
      <c r="B52" s="13" t="str">
        <f ca="1">IFERROR(__xludf.dummyfunction("""COMPUTED_VALUE"""),"Набор из 20 шт, Скрепки большие 50 мм, STAFF, оцинкованные, 50 шт., в 
картонной коробке, 270452 (270452)")</f>
        <v>Набор из 20 шт, Скрепки большие 50 мм, STAFF, оцинкованные, 50 шт., в 
картонной коробке, 270452 (270452)</v>
      </c>
      <c r="C52" s="2" t="str">
        <f ca="1">IFERROR(__xludf.dummyfunction("""COMPUTED_VALUE"""),"В наличии 37")</f>
        <v>В наличии 37</v>
      </c>
      <c r="D52" s="2">
        <f ca="1">IFERROR(__xludf.dummyfunction("""COMPUTED_VALUE"""),484)</f>
        <v>484</v>
      </c>
    </row>
    <row r="53" spans="1:4" ht="28.5">
      <c r="A53" s="2">
        <v>158746</v>
      </c>
      <c r="B53" s="13" t="str">
        <f ca="1">IFERROR(__xludf.dummyfunction("""COMPUTED_VALUE"""),"Набор из 24 шт, Зажимы для бумаг STAFF (224606)")</f>
        <v>Набор из 24 шт, Зажимы для бумаг STAFF (224606)</v>
      </c>
      <c r="C53" s="2" t="str">
        <f ca="1">IFERROR(__xludf.dummyfunction("""COMPUTED_VALUE"""),"В наличии 1178")</f>
        <v>В наличии 1178</v>
      </c>
      <c r="D53" s="2">
        <f ca="1">IFERROR(__xludf.dummyfunction("""COMPUTED_VALUE"""),652)</f>
        <v>652</v>
      </c>
    </row>
    <row r="54" spans="1:4" ht="28.5">
      <c r="A54" s="2">
        <v>158789</v>
      </c>
      <c r="B54" s="13" t="str">
        <f ca="1">IFERROR(__xludf.dummyfunction("""COMPUTED_VALUE"""),"Набор из 24 шт, Зажимы для бумаг STAFF (224607)")</f>
        <v>Набор из 24 шт, Зажимы для бумаг STAFF (224607)</v>
      </c>
      <c r="C54" s="2" t="str">
        <f ca="1">IFERROR(__xludf.dummyfunction("""COMPUTED_VALUE"""),"В наличии 1166")</f>
        <v>В наличии 1166</v>
      </c>
      <c r="D54" s="2">
        <f ca="1">IFERROR(__xludf.dummyfunction("""COMPUTED_VALUE"""),372)</f>
        <v>372</v>
      </c>
    </row>
    <row r="55" spans="1:4" ht="28.5">
      <c r="A55" s="2">
        <v>159159</v>
      </c>
      <c r="B55" s="13" t="str">
        <f ca="1">IFERROR(__xludf.dummyfunction("""COMPUTED_VALUE"""),"Набор из 24 шт, Зажимы для бумаг STAFF (225156)")</f>
        <v>Набор из 24 шт, Зажимы для бумаг STAFF (225156)</v>
      </c>
      <c r="C55" s="2" t="str">
        <f ca="1">IFERROR(__xludf.dummyfunction("""COMPUTED_VALUE"""),"В наличии 1530")</f>
        <v>В наличии 1530</v>
      </c>
      <c r="D55" s="2">
        <f ca="1">IFERROR(__xludf.dummyfunction("""COMPUTED_VALUE"""),984)</f>
        <v>984</v>
      </c>
    </row>
    <row r="56" spans="1:4" ht="28.5">
      <c r="A56" s="2">
        <v>160480</v>
      </c>
      <c r="B56" s="13" t="str">
        <f ca="1">IFERROR(__xludf.dummyfunction("""COMPUTED_VALUE"""),"Набор из 24 шт, Зажимы для бумаг STAFF (225157)")</f>
        <v>Набор из 24 шт, Зажимы для бумаг STAFF (225157)</v>
      </c>
      <c r="C56" s="2" t="str">
        <f ca="1">IFERROR(__xludf.dummyfunction("""COMPUTED_VALUE"""),"В наличии 10960")</f>
        <v>В наличии 10960</v>
      </c>
      <c r="D56" s="2">
        <f ca="1">IFERROR(__xludf.dummyfunction("""COMPUTED_VALUE"""),1092)</f>
        <v>1092</v>
      </c>
    </row>
    <row r="57" spans="1:4" ht="85.5">
      <c r="A57" s="2">
        <v>160619</v>
      </c>
      <c r="B57" s="13" t="str">
        <f ca="1">IFERROR(__xludf.dummyfunction("""COMPUTED_VALUE"""),"Набор из 24 шт, Зажимы для бумаг STAFF, КОМПЛЕКТ 12 шт, 15 мм, на 45 
листов, цветные, картонная коробка, 229050")</f>
        <v>Набор из 24 шт, Зажимы для бумаг STAFF, КОМПЛЕКТ 12 шт, 15 мм, на 45 
листов, цветные, картонная коробка, 229050</v>
      </c>
      <c r="C57" s="2" t="str">
        <f ca="1">IFERROR(__xludf.dummyfunction("""COMPUTED_VALUE"""),"В наличии 443")</f>
        <v>В наличии 443</v>
      </c>
      <c r="D57" s="2">
        <f ca="1">IFERROR(__xludf.dummyfunction("""COMPUTED_VALUE"""),864)</f>
        <v>864</v>
      </c>
    </row>
    <row r="58" spans="1:4" ht="85.5">
      <c r="A58" s="2">
        <v>160906</v>
      </c>
      <c r="B58" s="13" t="str">
        <f ca="1">IFERROR(__xludf.dummyfunction("""COMPUTED_VALUE"""),"Набор из 24 шт, Зажимы для бумаг STAFF, КОМПЛЕКТ 12 шт, 15 мм, на 45 
листов, черные, картонная коробка, 229049")</f>
        <v>Набор из 24 шт, Зажимы для бумаг STAFF, КОМПЛЕКТ 12 шт, 15 мм, на 45 
листов, черные, картонная коробка, 229049</v>
      </c>
      <c r="C58" s="2" t="str">
        <f ca="1">IFERROR(__xludf.dummyfunction("""COMPUTED_VALUE"""),"В наличии 635")</f>
        <v>В наличии 635</v>
      </c>
      <c r="D58" s="2">
        <f ca="1">IFERROR(__xludf.dummyfunction("""COMPUTED_VALUE"""),856)</f>
        <v>856</v>
      </c>
    </row>
    <row r="59" spans="1:4" ht="57">
      <c r="A59" s="2">
        <v>162673</v>
      </c>
      <c r="B59" s="13" t="str">
        <f ca="1">IFERROR(__xludf.dummyfunction("""COMPUTED_VALUE"""),"Набор из 24 шт, Клей канцелярский двусторонний BRAUBERG (227534)")</f>
        <v>Набор из 24 шт, Клей канцелярский двусторонний BRAUBERG (227534)</v>
      </c>
      <c r="C59" s="2" t="str">
        <f ca="1">IFERROR(__xludf.dummyfunction("""COMPUTED_VALUE"""),"В наличии 32013")</f>
        <v>В наличии 32013</v>
      </c>
      <c r="D59" s="2">
        <f ca="1">IFERROR(__xludf.dummyfunction("""COMPUTED_VALUE"""),1160)</f>
        <v>1160</v>
      </c>
    </row>
    <row r="60" spans="1:4" ht="57">
      <c r="A60" s="2">
        <v>162684</v>
      </c>
      <c r="B60" s="13" t="str">
        <f ca="1">IFERROR(__xludf.dummyfunction("""COMPUTED_VALUE"""),"Набор из 24 шт, Клей канцелярский двусторонний ЮНЛАНДИЯ (227536)")</f>
        <v>Набор из 24 шт, Клей канцелярский двусторонний ЮНЛАНДИЯ (227536)</v>
      </c>
      <c r="C60" s="2" t="str">
        <f ca="1">IFERROR(__xludf.dummyfunction("""COMPUTED_VALUE"""),"В наличии 2434")</f>
        <v>В наличии 2434</v>
      </c>
      <c r="D60" s="2">
        <f ca="1">IFERROR(__xludf.dummyfunction("""COMPUTED_VALUE"""),556)</f>
        <v>556</v>
      </c>
    </row>
    <row r="61" spans="1:4" ht="42.75">
      <c r="A61" s="2">
        <v>163488</v>
      </c>
      <c r="B61" s="13" t="str">
        <f ca="1">IFERROR(__xludf.dummyfunction("""COMPUTED_VALUE"""),"Набор из 24 шт, Клей канцелярский силикатный BRAUBERG (221020)")</f>
        <v>Набор из 24 шт, Клей канцелярский силикатный BRAUBERG (221020)</v>
      </c>
      <c r="C61" s="2" t="str">
        <f ca="1">IFERROR(__xludf.dummyfunction("""COMPUTED_VALUE"""),"В наличии 12113")</f>
        <v>В наличии 12113</v>
      </c>
      <c r="D61" s="2">
        <f ca="1">IFERROR(__xludf.dummyfunction("""COMPUTED_VALUE"""),1120)</f>
        <v>1120</v>
      </c>
    </row>
    <row r="62" spans="1:4" ht="57">
      <c r="A62" s="2">
        <v>164602</v>
      </c>
      <c r="B62" s="13" t="str">
        <f ca="1">IFERROR(__xludf.dummyfunction("""COMPUTED_VALUE"""),"Набор из 24 шт, Клей канцелярский ОФИСМАГ 50 мл, с силиконовым 
аппликатором, 228410")</f>
        <v>Набор из 24 шт, Клей канцелярский ОФИСМАГ 50 мл, с силиконовым 
аппликатором, 228410</v>
      </c>
      <c r="C62" s="2" t="str">
        <f ca="1">IFERROR(__xludf.dummyfunction("""COMPUTED_VALUE"""),"В наличии 9823")</f>
        <v>В наличии 9823</v>
      </c>
      <c r="D62" s="2">
        <f ca="1">IFERROR(__xludf.dummyfunction("""COMPUTED_VALUE"""),960)</f>
        <v>960</v>
      </c>
    </row>
    <row r="63" spans="1:4" ht="85.5">
      <c r="A63" s="2">
        <v>164965</v>
      </c>
      <c r="B63" s="13" t="str">
        <f ca="1">IFERROR(__xludf.dummyfunction("""COMPUTED_VALUE"""),"Набор из 24 шт, Клей-карандаш ""Зверята: кошка, мышка, хрюшка"", 9 г, 
фигурный колпачок, BRAUBERG KIDS, 271138 (271138)")</f>
        <v>Набор из 24 шт, Клей-карандаш "Зверята: кошка, мышка, хрюшка", 9 г, 
фигурный колпачок, BRAUBERG KIDS, 271138 (271138)</v>
      </c>
      <c r="C63" s="2" t="str">
        <f ca="1">IFERROR(__xludf.dummyfunction("""COMPUTED_VALUE"""),"В наличии 3193")</f>
        <v>В наличии 3193</v>
      </c>
      <c r="D63" s="2">
        <f ca="1">IFERROR(__xludf.dummyfunction("""COMPUTED_VALUE"""),1160)</f>
        <v>1160</v>
      </c>
    </row>
    <row r="64" spans="1:4" ht="99.75">
      <c r="A64" s="2">
        <v>165544</v>
      </c>
      <c r="B64" s="13" t="str">
        <f ca="1">IFERROR(__xludf.dummyfunction("""COMPUTED_VALUE"""),"Набор из 24 шт, Клей-карандаш ""Пастельные зверята: мышка, тигр, бегемот"", 9 
г, фигурный колпачок, BRAUBERG KIDS, 271140 (271140)")</f>
        <v>Набор из 24 шт, Клей-карандаш "Пастельные зверята: мышка, тигр, бегемот", 9 
г, фигурный колпачок, BRAUBERG KIDS, 271140 (271140)</v>
      </c>
      <c r="C64" s="2" t="str">
        <f ca="1">IFERROR(__xludf.dummyfunction("""COMPUTED_VALUE"""),"В наличии 1718")</f>
        <v>В наличии 1718</v>
      </c>
      <c r="D64" s="2">
        <f ca="1">IFERROR(__xludf.dummyfunction("""COMPUTED_VALUE"""),1560)</f>
        <v>1560</v>
      </c>
    </row>
    <row r="65" spans="1:4" ht="42.75">
      <c r="A65" s="2">
        <v>166056</v>
      </c>
      <c r="B65" s="13" t="str">
        <f ca="1">IFERROR(__xludf.dummyfunction("""COMPUTED_VALUE"""),"Набор из 24 шт, Клей-карандаш BRAUBERG (220871)")</f>
        <v>Набор из 24 шт, Клей-карандаш BRAUBERG (220871)</v>
      </c>
      <c r="C65" s="2" t="str">
        <f ca="1">IFERROR(__xludf.dummyfunction("""COMPUTED_VALUE"""),"В наличии 2878")</f>
        <v>В наличии 2878</v>
      </c>
      <c r="D65" s="2">
        <f ca="1">IFERROR(__xludf.dummyfunction("""COMPUTED_VALUE"""),1360)</f>
        <v>1360</v>
      </c>
    </row>
    <row r="66" spans="1:4" ht="28.5">
      <c r="A66" s="2">
        <v>166269</v>
      </c>
      <c r="B66" s="13" t="str">
        <f ca="1">IFERROR(__xludf.dummyfunction("""COMPUTED_VALUE"""),"Набор из 24 шт, Клей-карандаш STAFF (226620)")</f>
        <v>Набор из 24 шт, Клей-карандаш STAFF (226620)</v>
      </c>
      <c r="C66" s="2" t="str">
        <f ca="1">IFERROR(__xludf.dummyfunction("""COMPUTED_VALUE"""),"В наличии 7148")</f>
        <v>В наличии 7148</v>
      </c>
      <c r="D66" s="2">
        <f ca="1">IFERROR(__xludf.dummyfunction("""COMPUTED_VALUE"""),600)</f>
        <v>600</v>
      </c>
    </row>
    <row r="67" spans="1:4" ht="57">
      <c r="A67" s="2">
        <v>166983</v>
      </c>
      <c r="B67" s="13" t="str">
        <f ca="1">IFERROR(__xludf.dummyfunction("""COMPUTED_VALUE"""),"Набор из 24 шт, Клей-карандаш STAFF EVERYDAY, 40 г, 228665 (228665)")</f>
        <v>Набор из 24 шт, Клей-карандаш STAFF EVERYDAY, 40 г, 228665 (228665)</v>
      </c>
      <c r="C67" s="2" t="str">
        <f ca="1">IFERROR(__xludf.dummyfunction("""COMPUTED_VALUE"""),"В наличии 6")</f>
        <v>В наличии 6</v>
      </c>
      <c r="D67" s="2">
        <f ca="1">IFERROR(__xludf.dummyfunction("""COMPUTED_VALUE"""),840)</f>
        <v>840</v>
      </c>
    </row>
    <row r="68" spans="1:4" ht="57">
      <c r="A68" s="2">
        <v>167389</v>
      </c>
      <c r="B68" s="13" t="str">
        <f ca="1">IFERROR(__xludf.dummyfunction("""COMPUTED_VALUE"""),"Набор из 24 шт, Клей-карандаш STAFF Profit, 15 г, PVP-основа, НОВАЯ 
ФОРМУЛА, 228661 (228661)")</f>
        <v>Набор из 24 шт, Клей-карандаш STAFF Profit, 15 г, PVP-основа, НОВАЯ 
ФОРМУЛА, 228661 (228661)</v>
      </c>
      <c r="C68" s="2" t="str">
        <f ca="1">IFERROR(__xludf.dummyfunction("""COMPUTED_VALUE"""),"В наличии 292")</f>
        <v>В наличии 292</v>
      </c>
      <c r="D68" s="2">
        <f ca="1">IFERROR(__xludf.dummyfunction("""COMPUTED_VALUE"""),840)</f>
        <v>840</v>
      </c>
    </row>
    <row r="69" spans="1:4" ht="57">
      <c r="A69" s="2">
        <v>167420</v>
      </c>
      <c r="B69" s="13" t="str">
        <f ca="1">IFERROR(__xludf.dummyfunction("""COMPUTED_VALUE"""),"Набор из 24 шт, Клей-карандаш STAFF Profit, 21 г, PVP-основа, НОВАЯ 
ФОРМУЛА, 228662 (228662)")</f>
        <v>Набор из 24 шт, Клей-карандаш STAFF Profit, 21 г, PVP-основа, НОВАЯ 
ФОРМУЛА, 228662 (228662)</v>
      </c>
      <c r="C69" s="2" t="str">
        <f ca="1">IFERROR(__xludf.dummyfunction("""COMPUTED_VALUE"""),"В наличии 9866")</f>
        <v>В наличии 9866</v>
      </c>
      <c r="D69" s="2">
        <f ca="1">IFERROR(__xludf.dummyfunction("""COMPUTED_VALUE"""),1080)</f>
        <v>1080</v>
      </c>
    </row>
    <row r="70" spans="1:4" ht="57">
      <c r="A70" s="2">
        <v>167431</v>
      </c>
      <c r="B70" s="13" t="str">
        <f ca="1">IFERROR(__xludf.dummyfunction("""COMPUTED_VALUE"""),"Набор из 24 шт, Клей-карандаш STAFF Profit, 36 г, PVP-основа, НОВАЯ 
ФОРМУЛА, 228663 (228663)")</f>
        <v>Набор из 24 шт, Клей-карандаш STAFF Profit, 36 г, PVP-основа, НОВАЯ 
ФОРМУЛА, 228663 (228663)</v>
      </c>
      <c r="C70" s="2" t="str">
        <f ca="1">IFERROR(__xludf.dummyfunction("""COMPUTED_VALUE"""),"В наличии 187")</f>
        <v>В наличии 187</v>
      </c>
      <c r="D70" s="2">
        <f ca="1">IFERROR(__xludf.dummyfunction("""COMPUTED_VALUE"""),1008)</f>
        <v>1008</v>
      </c>
    </row>
    <row r="71" spans="1:4" ht="71.25">
      <c r="A71" s="2">
        <v>168020</v>
      </c>
      <c r="B71" s="13" t="str">
        <f ca="1">IFERROR(__xludf.dummyfunction("""COMPUTED_VALUE"""),"Набор из 24 шт, Клей-карандаш на натуральной основе BRAUBERG GREEN, 15 г, 
270437 (270437)")</f>
        <v>Набор из 24 шт, Клей-карандаш на натуральной основе BRAUBERG GREEN, 15 г, 
270437 (270437)</v>
      </c>
      <c r="C71" s="2" t="str">
        <f ca="1">IFERROR(__xludf.dummyfunction("""COMPUTED_VALUE"""),"В наличии 8800")</f>
        <v>В наличии 8800</v>
      </c>
      <c r="D71" s="2">
        <f ca="1">IFERROR(__xludf.dummyfunction("""COMPUTED_VALUE"""),816)</f>
        <v>816</v>
      </c>
    </row>
    <row r="72" spans="1:4" ht="71.25">
      <c r="A72" s="2">
        <v>169249</v>
      </c>
      <c r="B72" s="13" t="str">
        <f ca="1">IFERROR(__xludf.dummyfunction("""COMPUTED_VALUE"""),"Набор из 24 шт, Клей-карандаш на натуральной основе BRAUBERG GREEN, 8 г, 
270436 (270436)")</f>
        <v>Набор из 24 шт, Клей-карандаш на натуральной основе BRAUBERG GREEN, 8 г, 
270436 (270436)</v>
      </c>
      <c r="C72" s="2" t="str">
        <f ca="1">IFERROR(__xludf.dummyfunction("""COMPUTED_VALUE"""),"В наличии 56")</f>
        <v>В наличии 56</v>
      </c>
      <c r="D72" s="2">
        <f ca="1">IFERROR(__xludf.dummyfunction("""COMPUTED_VALUE"""),624)</f>
        <v>624</v>
      </c>
    </row>
    <row r="73" spans="1:4" ht="42.75">
      <c r="A73" s="2">
        <v>169285</v>
      </c>
      <c r="B73" s="13" t="str">
        <f ca="1">IFERROR(__xludf.dummyfunction("""COMPUTED_VALUE"""),"Набор из 24 шт, Клей-карандаш ОФИСМАГ (225965)")</f>
        <v>Набор из 24 шт, Клей-карандаш ОФИСМАГ (225965)</v>
      </c>
      <c r="C73" s="2" t="str">
        <f ca="1">IFERROR(__xludf.dummyfunction("""COMPUTED_VALUE"""),"В наличии 2")</f>
        <v>В наличии 2</v>
      </c>
      <c r="D73" s="2">
        <f ca="1">IFERROR(__xludf.dummyfunction("""COMPUTED_VALUE"""),672)</f>
        <v>672</v>
      </c>
    </row>
    <row r="74" spans="1:4" ht="85.5">
      <c r="A74" s="12">
        <v>169713</v>
      </c>
      <c r="B74" s="14" t="str">
        <f ca="1">IFERROR(__xludf.dummyfunction("IMPORTXML(getIdItems(""https://www.lustrof.ru/category/ofis/kanctovary/kantselyarskie-melochi/?page="",7),""//span[@class='products__item-info-name']"")"),"Набор из 5 шт, Зажимы для бумаг BRAUBERG EXTRA, КОМПЛЕКТ 12 шт., 32 мм, на 
140 л., золотистые, европодвес, 229587")</f>
        <v>Набор из 5 шт, Зажимы для бумаг BRAUBERG EXTRA, КОМПЛЕКТ 12 шт., 32 мм, на 
140 л., золотистые, европодвес, 229587</v>
      </c>
      <c r="C74" s="12" t="str">
        <f ca="1">IFERROR(__xludf.dummyfunction("IMPORTXML(getIdItems(""https://www.lustrof.ru/category/ofis/kanctovary/kantselyarskie-melochi/?page="",7),""//span[@class='products__available-in-stock']"")"),"В наличии 1037")</f>
        <v>В наличии 1037</v>
      </c>
      <c r="D74" s="12">
        <f ca="1">IFERROR(__xludf.dummyfunction("IMPORTXML(getIdItems(""https://www.lustrof.ru/category/ofis/kanctovary/kantselyarskie-melochi/?page="",7),""//span[@class='products__price-new']/text()"")"),1085)</f>
        <v>1085</v>
      </c>
    </row>
    <row r="75" spans="1:4" ht="28.5">
      <c r="A75" s="2">
        <v>169933</v>
      </c>
      <c r="B75" s="13" t="str">
        <f ca="1">IFERROR(__xludf.dummyfunction("""COMPUTED_VALUE"""),"Набор из 5 шт, Зажимы для бумаг ОФИСМАГ (226767)")</f>
        <v>Набор из 5 шт, Зажимы для бумаг ОФИСМАГ (226767)</v>
      </c>
      <c r="C75" s="2" t="str">
        <f ca="1">IFERROR(__xludf.dummyfunction("""COMPUTED_VALUE"""),"В наличии 1434")</f>
        <v>В наличии 1434</v>
      </c>
      <c r="D75" s="2">
        <f ca="1">IFERROR(__xludf.dummyfunction("""COMPUTED_VALUE"""),1060)</f>
        <v>1060</v>
      </c>
    </row>
    <row r="76" spans="1:4" ht="42.75">
      <c r="A76" s="2">
        <v>170285</v>
      </c>
      <c r="B76" s="13" t="str">
        <f ca="1">IFERROR(__xludf.dummyfunction("""COMPUTED_VALUE"""),"Набор из 5 шт, Зажимы для бумаг ОФИСНАЯ ПЛАНЕТА (222001)")</f>
        <v>Набор из 5 шт, Зажимы для бумаг ОФИСНАЯ ПЛАНЕТА (222001)</v>
      </c>
      <c r="C76" s="2" t="str">
        <f ca="1">IFERROR(__xludf.dummyfunction("""COMPUTED_VALUE"""),"В наличии 375")</f>
        <v>В наличии 375</v>
      </c>
      <c r="D76" s="2">
        <f ca="1">IFERROR(__xludf.dummyfunction("""COMPUTED_VALUE"""),1070)</f>
        <v>1070</v>
      </c>
    </row>
    <row r="77" spans="1:4" ht="57">
      <c r="A77" s="2">
        <v>171505</v>
      </c>
      <c r="B77" s="13" t="str">
        <f ca="1">IFERROR(__xludf.dummyfunction("""COMPUTED_VALUE"""),"Набор из 5 шт, Клей ПВА универсальный 0,5 кг (бумага, картон, дерево), 
STAFF, 606429")</f>
        <v>Набор из 5 шт, Клей ПВА универсальный 0,5 кг (бумага, картон, дерево), 
STAFF, 606429</v>
      </c>
      <c r="C77" s="2" t="str">
        <f ca="1">IFERROR(__xludf.dummyfunction("""COMPUTED_VALUE"""),"В наличии 152")</f>
        <v>В наличии 152</v>
      </c>
      <c r="D77" s="2">
        <f ca="1">IFERROR(__xludf.dummyfunction("""COMPUTED_VALUE"""),720)</f>
        <v>720</v>
      </c>
    </row>
    <row r="78" spans="1:4" ht="57">
      <c r="A78" s="2">
        <v>172880</v>
      </c>
      <c r="B78" s="13" t="str">
        <f ca="1">IFERROR(__xludf.dummyfunction("""COMPUTED_VALUE"""),"Набор из 5 шт, Клейкие ленты 12 мм х 33 м канцелярские BRAUBERG (223123)")</f>
        <v>Набор из 5 шт, Клейкие ленты 12 мм х 33 м канцелярские BRAUBERG (223123)</v>
      </c>
      <c r="C78" s="2" t="str">
        <f ca="1">IFERROR(__xludf.dummyfunction("""COMPUTED_VALUE"""),"В наличии 5785")</f>
        <v>В наличии 5785</v>
      </c>
      <c r="D78" s="2">
        <f ca="1">IFERROR(__xludf.dummyfunction("""COMPUTED_VALUE"""),810)</f>
        <v>810</v>
      </c>
    </row>
    <row r="79" spans="1:4" ht="99.75">
      <c r="A79" s="2">
        <v>172987</v>
      </c>
      <c r="B79" s="13" t="str">
        <f ca="1">IFERROR(__xludf.dummyfunction("""COMPUTED_VALUE"""),"Набор из 5 шт, Клейкие ленты 12 мм х 33 м канцелярские STAFF CLASSIC, 
КОМПЛЕКТ 12 шт., прозрачные, 271259 (271259)")</f>
        <v>Набор из 5 шт, Клейкие ленты 12 мм х 33 м канцелярские STAFF CLASSIC, 
КОМПЛЕКТ 12 шт., прозрачные, 271259 (271259)</v>
      </c>
      <c r="C79" s="2" t="str">
        <f ca="1">IFERROR(__xludf.dummyfunction("""COMPUTED_VALUE"""),"В наличии 795")</f>
        <v>В наличии 795</v>
      </c>
      <c r="D79" s="2">
        <f ca="1">IFERROR(__xludf.dummyfunction("""COMPUTED_VALUE"""),805)</f>
        <v>805</v>
      </c>
    </row>
    <row r="80" spans="1:4" ht="28.5">
      <c r="A80" s="2">
        <v>173924</v>
      </c>
      <c r="B80" s="13" t="str">
        <f ca="1">IFERROR(__xludf.dummyfunction("""COMPUTED_VALUE"""),"Набор из 5 шт, Скрепки BRAUBERG (221111)")</f>
        <v>Набор из 5 шт, Скрепки BRAUBERG (221111)</v>
      </c>
      <c r="C80" s="2" t="str">
        <f ca="1">IFERROR(__xludf.dummyfunction("""COMPUTED_VALUE"""),"В наличии 3069")</f>
        <v>В наличии 3069</v>
      </c>
      <c r="D80" s="2">
        <f ca="1">IFERROR(__xludf.dummyfunction("""COMPUTED_VALUE"""),305)</f>
        <v>305</v>
      </c>
    </row>
    <row r="81" spans="1:4" ht="99.75">
      <c r="A81" s="2">
        <v>175032</v>
      </c>
      <c r="B81" s="13" t="str">
        <f ca="1">IFERROR(__xludf.dummyfunction("""COMPUTED_VALUE"""),"Набор из 5 шт, Скрепки большие 78 мм, BRAUBERG, никелированные, 
гофрированные, 50 шт., в картонной коробке, 270450 (270450)")</f>
        <v>Набор из 5 шт, Скрепки большие 78 мм, BRAUBERG, никелированные, 
гофрированные, 50 шт., в картонной коробке, 270450 (270450)</v>
      </c>
      <c r="C81" s="2" t="str">
        <f ca="1">IFERROR(__xludf.dummyfunction("""COMPUTED_VALUE"""),"В наличии 4379")</f>
        <v>В наличии 4379</v>
      </c>
      <c r="D81" s="2">
        <f ca="1">IFERROR(__xludf.dummyfunction("""COMPUTED_VALUE"""),805)</f>
        <v>805</v>
      </c>
    </row>
    <row r="82" spans="1:4" ht="85.5">
      <c r="A82" s="2">
        <v>175711</v>
      </c>
      <c r="B82" s="13" t="str">
        <f ca="1">IFERROR(__xludf.dummyfunction("""COMPUTED_VALUE"""),"Набор из 5 шт, Скрепки большие 78 мм, STAFF, оцинкованные, гофрированные, 
50 шт., в картонной коробке, 270449 (270449)")</f>
        <v>Набор из 5 шт, Скрепки большие 78 мм, STAFF, оцинкованные, гофрированные, 
50 шт., в картонной коробке, 270449 (270449)</v>
      </c>
      <c r="C82" s="2" t="str">
        <f ca="1">IFERROR(__xludf.dummyfunction("""COMPUTED_VALUE"""),"В наличии 9217")</f>
        <v>В наличии 9217</v>
      </c>
      <c r="D82" s="2">
        <f ca="1">IFERROR(__xludf.dummyfunction("""COMPUTED_VALUE"""),685)</f>
        <v>685</v>
      </c>
    </row>
    <row r="83" spans="1:4" ht="42.75">
      <c r="A83" s="2">
        <v>176065</v>
      </c>
      <c r="B83" s="13" t="str">
        <f ca="1">IFERROR(__xludf.dummyfunction("""COMPUTED_VALUE"""),"Набор из 5 шт, Скрепки ОФИСМАГ ""Стрелка"" (226248)")</f>
        <v>Набор из 5 шт, Скрепки ОФИСМАГ "Стрелка" (226248)</v>
      </c>
      <c r="C83" s="2" t="str">
        <f ca="1">IFERROR(__xludf.dummyfunction("""COMPUTED_VALUE"""),"В наличии 38")</f>
        <v>В наличии 38</v>
      </c>
      <c r="D83" s="2">
        <f ca="1">IFERROR(__xludf.dummyfunction("""COMPUTED_VALUE"""),280)</f>
        <v>280</v>
      </c>
    </row>
    <row r="84" spans="1:4" ht="57">
      <c r="A84" s="2">
        <v>176662</v>
      </c>
      <c r="B84" s="13" t="str">
        <f ca="1">IFERROR(__xludf.dummyfunction("""COMPUTED_VALUE"""),"Набор из 5 шт, Скрепочница магнитная BRAUBERG с 30 скрепками (225188)")</f>
        <v>Набор из 5 шт, Скрепочница магнитная BRAUBERG с 30 скрепками (225188)</v>
      </c>
      <c r="C84" s="2" t="str">
        <f ca="1">IFERROR(__xludf.dummyfunction("""COMPUTED_VALUE"""),"В наличии 1084")</f>
        <v>В наличии 1084</v>
      </c>
      <c r="D84" s="2">
        <f ca="1">IFERROR(__xludf.dummyfunction("""COMPUTED_VALUE"""),1160)</f>
        <v>1160</v>
      </c>
    </row>
    <row r="85" spans="1:4" ht="57">
      <c r="A85" s="2">
        <v>176838</v>
      </c>
      <c r="B85" s="13" t="str">
        <f ca="1">IFERROR(__xludf.dummyfunction("""COMPUTED_VALUE"""),"Набор из 50 шт, Клей канцелярский силикатный BRAUBERG (для бумаги (228416)")</f>
        <v>Набор из 50 шт, Клей канцелярский силикатный BRAUBERG (для бумаги (228416)</v>
      </c>
      <c r="C85" s="2" t="str">
        <f ca="1">IFERROR(__xludf.dummyfunction("""COMPUTED_VALUE"""),"В наличии 106")</f>
        <v>В наличии 106</v>
      </c>
      <c r="D85" s="2">
        <f ca="1">IFERROR(__xludf.dummyfunction("""COMPUTED_VALUE"""),1000)</f>
        <v>1000</v>
      </c>
    </row>
    <row r="86" spans="1:4" ht="28.5">
      <c r="A86" s="2">
        <v>177492</v>
      </c>
      <c r="B86" s="13" t="str">
        <f ca="1">IFERROR(__xludf.dummyfunction("""COMPUTED_VALUE"""),"Набор из 50 шт, Клей ПВА STAFF (225175)")</f>
        <v>Набор из 50 шт, Клей ПВА STAFF (225175)</v>
      </c>
      <c r="C86" s="2" t="str">
        <f ca="1">IFERROR(__xludf.dummyfunction("""COMPUTED_VALUE"""),"В наличии 65")</f>
        <v>В наличии 65</v>
      </c>
      <c r="D86" s="2">
        <f ca="1">IFERROR(__xludf.dummyfunction("""COMPUTED_VALUE"""),1350)</f>
        <v>1350</v>
      </c>
    </row>
    <row r="87" spans="1:4" ht="28.5">
      <c r="A87" s="2">
        <v>179584</v>
      </c>
      <c r="B87" s="13" t="str">
        <f ca="1">IFERROR(__xludf.dummyfunction("""COMPUTED_VALUE"""),"Набор из 50 шт, Клей ПВА ОФИСМАГ (бумага (224604)")</f>
        <v>Набор из 50 шт, Клей ПВА ОФИСМАГ (бумага (224604)</v>
      </c>
      <c r="C87" s="2" t="str">
        <f ca="1">IFERROR(__xludf.dummyfunction("""COMPUTED_VALUE"""),"В наличии 83")</f>
        <v>В наличии 83</v>
      </c>
      <c r="D87" s="2">
        <f ca="1">IFERROR(__xludf.dummyfunction("""COMPUTED_VALUE"""),1350)</f>
        <v>1350</v>
      </c>
    </row>
    <row r="88" spans="1:4" ht="28.5">
      <c r="A88" s="2">
        <v>179667</v>
      </c>
      <c r="B88" s="13" t="str">
        <f ca="1">IFERROR(__xludf.dummyfunction("""COMPUTED_VALUE"""),"Набор из 50 шт, Клей ПВА с дозатором (227375)")</f>
        <v>Набор из 50 шт, Клей ПВА с дозатором (227375)</v>
      </c>
      <c r="C88" s="2" t="str">
        <f ca="1">IFERROR(__xludf.dummyfunction("""COMPUTED_VALUE"""),"В наличии 30")</f>
        <v>В наличии 30</v>
      </c>
      <c r="D88" s="2">
        <f ca="1">IFERROR(__xludf.dummyfunction("""COMPUTED_VALUE"""),950)</f>
        <v>950</v>
      </c>
    </row>
    <row r="89" spans="1:4" ht="28.5">
      <c r="A89" s="2">
        <v>179973</v>
      </c>
      <c r="B89" s="13" t="str">
        <f ca="1">IFERROR(__xludf.dummyfunction("""COMPUTED_VALUE"""),"Набор из 50 шт, Клей ПВА с дозатором (227376)")</f>
        <v>Набор из 50 шт, Клей ПВА с дозатором (227376)</v>
      </c>
      <c r="C89" s="2" t="str">
        <f ca="1">IFERROR(__xludf.dummyfunction("""COMPUTED_VALUE"""),"В наличии 26")</f>
        <v>В наличии 26</v>
      </c>
      <c r="D89" s="2">
        <f ca="1">IFERROR(__xludf.dummyfunction("""COMPUTED_VALUE"""),1200)</f>
        <v>1200</v>
      </c>
    </row>
    <row r="90" spans="1:4" ht="42.75">
      <c r="A90" s="2">
        <v>180060</v>
      </c>
      <c r="B90" s="13" t="str">
        <f ca="1">IFERROR(__xludf.dummyfunction("""COMPUTED_VALUE"""),"Набор из 50 шт, Кнопки канцелярские ОФИСМАГ (226769)")</f>
        <v>Набор из 50 шт, Кнопки канцелярские ОФИСМАГ (226769)</v>
      </c>
      <c r="C90" s="2" t="str">
        <f ca="1">IFERROR(__xludf.dummyfunction("""COMPUTED_VALUE"""),"В наличии 11")</f>
        <v>В наличии 11</v>
      </c>
      <c r="D90" s="2">
        <f ca="1">IFERROR(__xludf.dummyfunction("""COMPUTED_VALUE"""),1450)</f>
        <v>1450</v>
      </c>
    </row>
    <row r="91" spans="1:4" ht="28.5">
      <c r="A91" s="2">
        <v>181029</v>
      </c>
      <c r="B91" s="13" t="str">
        <f ca="1">IFERROR(__xludf.dummyfunction("""COMPUTED_VALUE"""),"Набор из 6 шт, Зажимы для бумаг BRAUBERG (224471)")</f>
        <v>Набор из 6 шт, Зажимы для бумаг BRAUBERG (224471)</v>
      </c>
      <c r="C91" s="2" t="str">
        <f ca="1">IFERROR(__xludf.dummyfunction("""COMPUTED_VALUE"""),"В наличии 1249")</f>
        <v>В наличии 1249</v>
      </c>
      <c r="D91" s="2">
        <f ca="1">IFERROR(__xludf.dummyfunction("""COMPUTED_VALUE"""),726)</f>
        <v>726</v>
      </c>
    </row>
    <row r="92" spans="1:4" ht="28.5">
      <c r="A92" s="2">
        <v>182480</v>
      </c>
      <c r="B92" s="13" t="str">
        <f ca="1">IFERROR(__xludf.dummyfunction("""COMPUTED_VALUE"""),"Набор из 6 шт, Зажимы для бумаг STAFF (225159)")</f>
        <v>Набор из 6 шт, Зажимы для бумаг STAFF (225159)</v>
      </c>
      <c r="C92" s="2" t="str">
        <f ca="1">IFERROR(__xludf.dummyfunction("""COMPUTED_VALUE"""),"В наличии 423")</f>
        <v>В наличии 423</v>
      </c>
      <c r="D92" s="2">
        <f ca="1">IFERROR(__xludf.dummyfunction("""COMPUTED_VALUE"""),624)</f>
        <v>624</v>
      </c>
    </row>
    <row r="93" spans="1:4" ht="28.5">
      <c r="A93" s="2">
        <v>185428</v>
      </c>
      <c r="B93" s="13" t="str">
        <f ca="1">IFERROR(__xludf.dummyfunction("""COMPUTED_VALUE"""),"Набор из 6 шт, Зажимы для бумаг ОФИСМАГ (222089)")</f>
        <v>Набор из 6 шт, Зажимы для бумаг ОФИСМАГ (222089)</v>
      </c>
      <c r="C93" s="2" t="str">
        <f ca="1">IFERROR(__xludf.dummyfunction("""COMPUTED_VALUE"""),"В наличии 3809")</f>
        <v>В наличии 3809</v>
      </c>
      <c r="D93" s="2">
        <f ca="1">IFERROR(__xludf.dummyfunction("""COMPUTED_VALUE"""),720)</f>
        <v>720</v>
      </c>
    </row>
    <row r="94" spans="1:4" ht="42.75">
      <c r="A94" s="2">
        <v>185505</v>
      </c>
      <c r="B94" s="13" t="str">
        <f ca="1">IFERROR(__xludf.dummyfunction("""COMPUTED_VALUE"""),"Набор из 6 шт, Зажимы для бумаг ОФИСНАЯ ПЛАНЕТА (222000)")</f>
        <v>Набор из 6 шт, Зажимы для бумаг ОФИСНАЯ ПЛАНЕТА (222000)</v>
      </c>
      <c r="C94" s="2" t="str">
        <f ca="1">IFERROR(__xludf.dummyfunction("""COMPUTED_VALUE"""),"В наличии 480")</f>
        <v>В наличии 480</v>
      </c>
      <c r="D94" s="2">
        <f ca="1">IFERROR(__xludf.dummyfunction("""COMPUTED_VALUE"""),726)</f>
        <v>726</v>
      </c>
    </row>
    <row r="95" spans="1:4" ht="99.75">
      <c r="A95" s="2">
        <v>187076</v>
      </c>
      <c r="B95" s="13" t="str">
        <f ca="1">IFERROR(__xludf.dummyfunction("""COMPUTED_VALUE"""),"Набор из 6 шт, Клей-карандаш ""Зверята: хрюшка, тигр, панда"", 9 г, фигурный 
колпачок, 3 шт./блистер, BRAUBERG KIDS, 271141 (271141)")</f>
        <v>Набор из 6 шт, Клей-карандаш "Зверята: хрюшка, тигр, панда", 9 г, фигурный 
колпачок, 3 шт./блистер, BRAUBERG KIDS, 271141 (271141)</v>
      </c>
      <c r="C95" s="2" t="str">
        <f ca="1">IFERROR(__xludf.dummyfunction("""COMPUTED_VALUE"""),"В наличии 754")</f>
        <v>В наличии 754</v>
      </c>
      <c r="D95" s="2">
        <f ca="1">IFERROR(__xludf.dummyfunction("""COMPUTED_VALUE"""),456)</f>
        <v>456</v>
      </c>
    </row>
    <row r="96" spans="1:4" ht="57">
      <c r="A96" s="2">
        <v>188364</v>
      </c>
      <c r="B96" s="13" t="str">
        <f ca="1">IFERROR(__xludf.dummyfunction("""COMPUTED_VALUE"""),"Набор из 6 шт, Клейкие ленты 15 мм х 33 м канцелярские BRAUBERG (227259)")</f>
        <v>Набор из 6 шт, Клейкие ленты 15 мм х 33 м канцелярские BRAUBERG (227259)</v>
      </c>
      <c r="C96" s="2" t="str">
        <f ca="1">IFERROR(__xludf.dummyfunction("""COMPUTED_VALUE"""),"В наличии 475")</f>
        <v>В наличии 475</v>
      </c>
      <c r="D96" s="2">
        <f ca="1">IFERROR(__xludf.dummyfunction("""COMPUTED_VALUE"""),1230)</f>
        <v>1230</v>
      </c>
    </row>
    <row r="97" spans="1:4" ht="28.5">
      <c r="A97" s="2">
        <v>188492</v>
      </c>
      <c r="B97" s="13" t="str">
        <f ca="1">IFERROR(__xludf.dummyfunction("""COMPUTED_VALUE"""),"Набор из 6 шт, Набор ОФИСМАГ (226253)")</f>
        <v>Набор из 6 шт, Набор ОФИСМАГ (226253)</v>
      </c>
      <c r="C97" s="2" t="str">
        <f ca="1">IFERROR(__xludf.dummyfunction("""COMPUTED_VALUE"""),"В наличии 1538")</f>
        <v>В наличии 1538</v>
      </c>
      <c r="D97" s="2">
        <f ca="1">IFERROR(__xludf.dummyfunction("""COMPUTED_VALUE"""),714)</f>
        <v>714</v>
      </c>
    </row>
    <row r="98" spans="1:4" ht="42.75">
      <c r="A98" s="2">
        <v>188555</v>
      </c>
      <c r="B98" s="13" t="str">
        <f ca="1">IFERROR(__xludf.dummyfunction("""COMPUTED_VALUE"""),"Набор из 6 шт, Скрепочница магнитная BRAUBERG (228400)")</f>
        <v>Набор из 6 шт, Скрепочница магнитная BRAUBERG (228400)</v>
      </c>
      <c r="C98" s="2" t="str">
        <f ca="1">IFERROR(__xludf.dummyfunction("""COMPUTED_VALUE"""),"В наличии 1147")</f>
        <v>В наличии 1147</v>
      </c>
      <c r="D98" s="2">
        <f ca="1">IFERROR(__xludf.dummyfunction("""COMPUTED_VALUE"""),894)</f>
        <v>894</v>
      </c>
    </row>
    <row r="99" spans="1:4" ht="42.75">
      <c r="A99" s="2">
        <v>188869</v>
      </c>
      <c r="B99" s="13" t="str">
        <f ca="1">IFERROR(__xludf.dummyfunction("""COMPUTED_VALUE"""),"Набор из 6 шт, Скрепочница магнитная BRAUBERG (228401)")</f>
        <v>Набор из 6 шт, Скрепочница магнитная BRAUBERG (228401)</v>
      </c>
      <c r="C99" s="2" t="str">
        <f ca="1">IFERROR(__xludf.dummyfunction("""COMPUTED_VALUE"""),"В наличии 444")</f>
        <v>В наличии 444</v>
      </c>
      <c r="D99" s="2">
        <f ca="1">IFERROR(__xludf.dummyfunction("""COMPUTED_VALUE"""),906)</f>
        <v>906</v>
      </c>
    </row>
    <row r="100" spans="1:4" ht="42.75">
      <c r="A100" s="2">
        <v>190213</v>
      </c>
      <c r="B100" s="13" t="str">
        <f ca="1">IFERROR(__xludf.dummyfunction("""COMPUTED_VALUE"""),"Набор из 6 шт, Скрепочница магнитная STAFF (226825)")</f>
        <v>Набор из 6 шт, Скрепочница магнитная STAFF (226825)</v>
      </c>
      <c r="C100" s="2" t="str">
        <f ca="1">IFERROR(__xludf.dummyfunction("""COMPUTED_VALUE"""),"В наличии 2092")</f>
        <v>В наличии 2092</v>
      </c>
      <c r="D100" s="2">
        <f ca="1">IFERROR(__xludf.dummyfunction("""COMPUTED_VALUE"""),552)</f>
        <v>552</v>
      </c>
    </row>
    <row r="101" spans="1:4" ht="28.5">
      <c r="A101" s="2">
        <v>190957</v>
      </c>
      <c r="B101" s="13" t="str">
        <f ca="1">IFERROR(__xludf.dummyfunction("""COMPUTED_VALUE"""),"Набор из 60 шт, Скрепки STAFF (224630)")</f>
        <v>Набор из 60 шт, Скрепки STAFF (224630)</v>
      </c>
      <c r="C101" s="2" t="str">
        <f ca="1">IFERROR(__xludf.dummyfunction("""COMPUTED_VALUE"""),"В наличии 1058")</f>
        <v>В наличии 1058</v>
      </c>
      <c r="D101" s="2">
        <f ca="1">IFERROR(__xludf.dummyfunction("""COMPUTED_VALUE"""),2100)</f>
        <v>2100</v>
      </c>
    </row>
    <row r="102" spans="1:4" ht="57">
      <c r="A102" s="2">
        <v>191366</v>
      </c>
      <c r="B102" s="13" t="str">
        <f ca="1">IFERROR(__xludf.dummyfunction("""COMPUTED_VALUE"""),"Набор из 7 шт, Клейкая лента невидимая, матовая, 12 мм х 33 м, 811820 
(811820)")</f>
        <v>Набор из 7 шт, Клейкая лента невидимая, матовая, 12 мм х 33 м, 811820 
(811820)</v>
      </c>
      <c r="C102" s="2" t="str">
        <f ca="1">IFERROR(__xludf.dummyfunction("""COMPUTED_VALUE"""),"В наличии 125")</f>
        <v>В наличии 125</v>
      </c>
      <c r="D102" s="2">
        <f ca="1">IFERROR(__xludf.dummyfunction("""COMPUTED_VALUE"""),385)</f>
        <v>385</v>
      </c>
    </row>
    <row r="103" spans="1:4" ht="71.25">
      <c r="A103" s="2">
        <v>192090</v>
      </c>
      <c r="B103" s="13" t="str">
        <f ca="1">IFERROR(__xludf.dummyfunction("""COMPUTED_VALUE"""),"Набор из 7 шт, Скрепочница магнитная STAFF ""Basic"", прозрачный корпус, 
270556, 59 (270556)")</f>
        <v>Набор из 7 шт, Скрепочница магнитная STAFF "Basic", прозрачный корпус, 
270556, 59 (270556)</v>
      </c>
      <c r="C103" s="2" t="str">
        <f ca="1">IFERROR(__xludf.dummyfunction("""COMPUTED_VALUE"""),"В наличии 42")</f>
        <v>В наличии 42</v>
      </c>
      <c r="D103" s="2">
        <f ca="1">IFERROR(__xludf.dummyfunction("""COMPUTED_VALUE"""),686)</f>
        <v>686</v>
      </c>
    </row>
    <row r="104" spans="1:4" ht="85.5">
      <c r="A104" s="2">
        <v>194021</v>
      </c>
      <c r="B104" s="13" t="str">
        <f ca="1">IFERROR(__xludf.dummyfunction("""COMPUTED_VALUE"""),"Набор из 7 шт, Скрепочница магнитная с 50 никелированными скрепками 28 мм, 
РОССИЯ, BRAUBERG, 271179 (271179)")</f>
        <v>Набор из 7 шт, Скрепочница магнитная с 50 никелированными скрепками 28 мм, 
РОССИЯ, BRAUBERG, 271179 (271179)</v>
      </c>
      <c r="C104" s="2" t="str">
        <f ca="1">IFERROR(__xludf.dummyfunction("""COMPUTED_VALUE"""),"В наличии 541")</f>
        <v>В наличии 541</v>
      </c>
      <c r="D104" s="2">
        <f ca="1">IFERROR(__xludf.dummyfunction("""COMPUTED_VALUE"""),805)</f>
        <v>805</v>
      </c>
    </row>
    <row r="105" spans="1:4" ht="28.5">
      <c r="A105" s="2">
        <v>195218</v>
      </c>
      <c r="B105" s="13" t="str">
        <f ca="1">IFERROR(__xludf.dummyfunction("""COMPUTED_VALUE"""),"Набор из 70 шт, Клей ПВА ОФИСМАГ (бумага (225760)")</f>
        <v>Набор из 70 шт, Клей ПВА ОФИСМАГ (бумага (225760)</v>
      </c>
      <c r="C105" s="2" t="str">
        <f ca="1">IFERROR(__xludf.dummyfunction("""COMPUTED_VALUE"""),"В наличии 5")</f>
        <v>В наличии 5</v>
      </c>
      <c r="D105" s="2">
        <f ca="1">IFERROR(__xludf.dummyfunction("""COMPUTED_VALUE"""),1470)</f>
        <v>1470</v>
      </c>
    </row>
    <row r="106" spans="1:4" ht="57">
      <c r="A106" s="2">
        <v>196174</v>
      </c>
      <c r="B106" s="13" t="str">
        <f ca="1">IFERROR(__xludf.dummyfunction("""COMPUTED_VALUE"""),"Набор из 72 шт, Клей канцелярский силикатный BRAUBERG (для бумаги (224599)")</f>
        <v>Набор из 72 шт, Клей канцелярский силикатный BRAUBERG (для бумаги (224599)</v>
      </c>
      <c r="C106" s="2" t="str">
        <f ca="1">IFERROR(__xludf.dummyfunction("""COMPUTED_VALUE"""),"В наличии 318")</f>
        <v>В наличии 318</v>
      </c>
      <c r="D106" s="2">
        <f ca="1">IFERROR(__xludf.dummyfunction("""COMPUTED_VALUE"""),1440)</f>
        <v>1440</v>
      </c>
    </row>
    <row r="107" spans="1:4" ht="28.5">
      <c r="A107" s="2">
        <v>196292</v>
      </c>
      <c r="B107" s="13" t="str">
        <f ca="1">IFERROR(__xludf.dummyfunction("""COMPUTED_VALUE"""),"Набор из 72 шт, Клей-карандаш STAFF (220374)")</f>
        <v>Набор из 72 шт, Клей-карандаш STAFF (220374)</v>
      </c>
      <c r="C107" s="2" t="str">
        <f ca="1">IFERROR(__xludf.dummyfunction("""COMPUTED_VALUE"""),"В наличии 8203")</f>
        <v>В наличии 8203</v>
      </c>
      <c r="D107" s="2">
        <f ca="1">IFERROR(__xludf.dummyfunction("""COMPUTED_VALUE"""),648)</f>
        <v>648</v>
      </c>
    </row>
    <row r="108" spans="1:4" ht="28.5">
      <c r="A108" s="2">
        <v>197902</v>
      </c>
      <c r="B108" s="13" t="str">
        <f ca="1">IFERROR(__xludf.dummyfunction("""COMPUTED_VALUE"""),"Набор из 72 шт, Клей-карандаш STAFF (221132)")</f>
        <v>Набор из 72 шт, Клей-карандаш STAFF (221132)</v>
      </c>
      <c r="C108" s="2" t="str">
        <f ca="1">IFERROR(__xludf.dummyfunction("""COMPUTED_VALUE"""),"В наличии 8761")</f>
        <v>В наличии 8761</v>
      </c>
      <c r="D108" s="2">
        <f ca="1">IFERROR(__xludf.dummyfunction("""COMPUTED_VALUE"""),936)</f>
        <v>936</v>
      </c>
    </row>
    <row r="109" spans="1:4" ht="28.5">
      <c r="A109" s="2">
        <v>198582</v>
      </c>
      <c r="B109" s="13" t="str">
        <f ca="1">IFERROR(__xludf.dummyfunction("""COMPUTED_VALUE"""),"Набор из 72 шт, Клей-карандаш STAFF (226617)")</f>
        <v>Набор из 72 шт, Клей-карандаш STAFF (226617)</v>
      </c>
      <c r="C109" s="2" t="str">
        <f ca="1">IFERROR(__xludf.dummyfunction("""COMPUTED_VALUE"""),"В наличии 1397")</f>
        <v>В наличии 1397</v>
      </c>
      <c r="D109" s="2">
        <f ca="1">IFERROR(__xludf.dummyfunction("""COMPUTED_VALUE"""),1440)</f>
        <v>1440</v>
      </c>
    </row>
    <row r="110" spans="1:4">
      <c r="B110" s="13"/>
    </row>
    <row r="111" spans="1:4">
      <c r="B111" s="13"/>
    </row>
    <row r="112" spans="1:4">
      <c r="B112" s="13"/>
    </row>
    <row r="113" spans="2:2">
      <c r="B113" s="13"/>
    </row>
    <row r="114" spans="2:2">
      <c r="B114" s="13"/>
    </row>
    <row r="115" spans="2:2">
      <c r="B115" s="13"/>
    </row>
    <row r="116" spans="2:2">
      <c r="B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  <row r="121" spans="2:2">
      <c r="B121" s="13"/>
    </row>
    <row r="122" spans="2:2">
      <c r="B122" s="13"/>
    </row>
    <row r="123" spans="2:2">
      <c r="B123" s="13"/>
    </row>
    <row r="124" spans="2:2">
      <c r="B124" s="13"/>
    </row>
    <row r="125" spans="2:2">
      <c r="B125" s="13"/>
    </row>
    <row r="126" spans="2:2">
      <c r="B126" s="13"/>
    </row>
    <row r="127" spans="2:2">
      <c r="B127" s="13"/>
    </row>
    <row r="128" spans="2:2">
      <c r="B128" s="13"/>
    </row>
    <row r="129" spans="2:2">
      <c r="B129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6" spans="2:2">
      <c r="B136" s="13"/>
    </row>
    <row r="137" spans="2:2">
      <c r="B137" s="13"/>
    </row>
    <row r="138" spans="2:2">
      <c r="B138" s="13"/>
    </row>
    <row r="139" spans="2:2">
      <c r="B139" s="13"/>
    </row>
    <row r="140" spans="2:2">
      <c r="B140" s="13"/>
    </row>
    <row r="141" spans="2:2">
      <c r="B141" s="13"/>
    </row>
    <row r="142" spans="2:2">
      <c r="B142" s="13"/>
    </row>
    <row r="143" spans="2:2">
      <c r="B143" s="13"/>
    </row>
    <row r="144" spans="2:2">
      <c r="B144" s="13"/>
    </row>
    <row r="145" spans="2:2">
      <c r="B145" s="13"/>
    </row>
    <row r="146" spans="2:2">
      <c r="B146" s="13"/>
    </row>
    <row r="147" spans="2:2">
      <c r="B147" s="13"/>
    </row>
    <row r="148" spans="2:2">
      <c r="B148" s="13"/>
    </row>
    <row r="149" spans="2:2">
      <c r="B149" s="13"/>
    </row>
    <row r="150" spans="2:2">
      <c r="B150" s="13"/>
    </row>
    <row r="151" spans="2:2">
      <c r="B151" s="13"/>
    </row>
    <row r="152" spans="2:2">
      <c r="B152" s="13"/>
    </row>
    <row r="153" spans="2:2">
      <c r="B153" s="13"/>
    </row>
    <row r="154" spans="2:2">
      <c r="B154" s="13"/>
    </row>
    <row r="155" spans="2:2">
      <c r="B155" s="13"/>
    </row>
    <row r="156" spans="2:2">
      <c r="B156" s="13"/>
    </row>
    <row r="157" spans="2:2">
      <c r="B157" s="13"/>
    </row>
    <row r="158" spans="2:2">
      <c r="B158" s="13"/>
    </row>
    <row r="159" spans="2:2">
      <c r="B159" s="13"/>
    </row>
    <row r="160" spans="2:2">
      <c r="B160" s="13"/>
    </row>
    <row r="161" spans="2:2">
      <c r="B161" s="13"/>
    </row>
    <row r="162" spans="2:2">
      <c r="B162" s="13"/>
    </row>
    <row r="163" spans="2:2">
      <c r="B163" s="13"/>
    </row>
    <row r="164" spans="2:2">
      <c r="B164" s="13"/>
    </row>
    <row r="165" spans="2:2">
      <c r="B165" s="13"/>
    </row>
    <row r="166" spans="2:2">
      <c r="B166" s="13"/>
    </row>
    <row r="167" spans="2:2">
      <c r="B167" s="13"/>
    </row>
    <row r="168" spans="2:2">
      <c r="B168" s="13"/>
    </row>
    <row r="169" spans="2:2">
      <c r="B169" s="13"/>
    </row>
    <row r="170" spans="2:2">
      <c r="B170" s="13"/>
    </row>
    <row r="171" spans="2:2">
      <c r="B171" s="13"/>
    </row>
    <row r="172" spans="2:2">
      <c r="B172" s="13"/>
    </row>
    <row r="173" spans="2:2">
      <c r="B173" s="13"/>
    </row>
    <row r="174" spans="2:2">
      <c r="B174" s="13"/>
    </row>
    <row r="175" spans="2:2">
      <c r="B175" s="13"/>
    </row>
    <row r="176" spans="2:2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1" spans="2:2">
      <c r="B181" s="13"/>
    </row>
    <row r="182" spans="2:2">
      <c r="B182" s="13"/>
    </row>
    <row r="183" spans="2:2">
      <c r="B183" s="13"/>
    </row>
    <row r="184" spans="2:2">
      <c r="B184" s="13"/>
    </row>
    <row r="185" spans="2:2">
      <c r="B185" s="13"/>
    </row>
    <row r="186" spans="2:2">
      <c r="B186" s="13"/>
    </row>
    <row r="187" spans="2:2">
      <c r="B187" s="13"/>
    </row>
    <row r="188" spans="2:2">
      <c r="B188" s="13"/>
    </row>
    <row r="189" spans="2:2">
      <c r="B189" s="13"/>
    </row>
    <row r="190" spans="2:2">
      <c r="B190" s="13"/>
    </row>
    <row r="191" spans="2:2">
      <c r="B191" s="13"/>
    </row>
    <row r="192" spans="2:2">
      <c r="B192" s="13"/>
    </row>
    <row r="193" spans="2:2">
      <c r="B193" s="13"/>
    </row>
    <row r="194" spans="2:2">
      <c r="B194" s="13"/>
    </row>
    <row r="195" spans="2:2">
      <c r="B195" s="13"/>
    </row>
    <row r="196" spans="2:2">
      <c r="B196" s="13"/>
    </row>
    <row r="197" spans="2:2">
      <c r="B197" s="13"/>
    </row>
    <row r="198" spans="2:2">
      <c r="B198" s="13"/>
    </row>
    <row r="199" spans="2:2">
      <c r="B199" s="13"/>
    </row>
    <row r="200" spans="2:2">
      <c r="B200" s="13"/>
    </row>
    <row r="201" spans="2:2">
      <c r="B201" s="13"/>
    </row>
    <row r="202" spans="2:2">
      <c r="B202" s="13"/>
    </row>
    <row r="203" spans="2:2">
      <c r="B203" s="13"/>
    </row>
    <row r="204" spans="2:2">
      <c r="B204" s="13"/>
    </row>
    <row r="205" spans="2:2">
      <c r="B205" s="13"/>
    </row>
    <row r="206" spans="2:2">
      <c r="B206" s="13"/>
    </row>
    <row r="207" spans="2:2">
      <c r="B207" s="13"/>
    </row>
    <row r="208" spans="2:2">
      <c r="B208" s="13"/>
    </row>
    <row r="209" spans="2:2">
      <c r="B209" s="13"/>
    </row>
    <row r="210" spans="2:2">
      <c r="B210" s="13"/>
    </row>
    <row r="211" spans="2:2">
      <c r="B211" s="13"/>
    </row>
    <row r="212" spans="2:2">
      <c r="B212" s="13"/>
    </row>
    <row r="213" spans="2:2">
      <c r="B213" s="13"/>
    </row>
    <row r="214" spans="2:2">
      <c r="B214" s="13"/>
    </row>
    <row r="215" spans="2:2">
      <c r="B215" s="13"/>
    </row>
    <row r="216" spans="2:2">
      <c r="B216" s="13"/>
    </row>
    <row r="217" spans="2:2">
      <c r="B217" s="13"/>
    </row>
    <row r="218" spans="2:2">
      <c r="B218" s="13"/>
    </row>
    <row r="219" spans="2:2">
      <c r="B219" s="13"/>
    </row>
    <row r="220" spans="2:2">
      <c r="B220" s="13"/>
    </row>
    <row r="221" spans="2:2">
      <c r="B221" s="13"/>
    </row>
    <row r="222" spans="2:2">
      <c r="B222" s="13"/>
    </row>
    <row r="223" spans="2:2">
      <c r="B223" s="13"/>
    </row>
    <row r="224" spans="2:2">
      <c r="B224" s="13"/>
    </row>
    <row r="225" spans="2:2">
      <c r="B225" s="13"/>
    </row>
    <row r="226" spans="2:2">
      <c r="B226" s="13"/>
    </row>
    <row r="227" spans="2:2">
      <c r="B227" s="13"/>
    </row>
    <row r="228" spans="2:2">
      <c r="B228" s="13"/>
    </row>
    <row r="229" spans="2:2">
      <c r="B229" s="13"/>
    </row>
    <row r="230" spans="2:2">
      <c r="B230" s="13"/>
    </row>
    <row r="231" spans="2:2">
      <c r="B231" s="13"/>
    </row>
    <row r="232" spans="2:2">
      <c r="B232" s="13"/>
    </row>
    <row r="233" spans="2:2">
      <c r="B233" s="13"/>
    </row>
    <row r="234" spans="2:2">
      <c r="B234" s="13"/>
    </row>
    <row r="235" spans="2:2">
      <c r="B235" s="13"/>
    </row>
    <row r="236" spans="2:2">
      <c r="B236" s="13"/>
    </row>
    <row r="237" spans="2:2">
      <c r="B237" s="13"/>
    </row>
    <row r="238" spans="2:2">
      <c r="B238" s="13"/>
    </row>
    <row r="239" spans="2:2">
      <c r="B239" s="13"/>
    </row>
    <row r="240" spans="2:2">
      <c r="B240" s="13"/>
    </row>
    <row r="241" spans="2:2">
      <c r="B241" s="13"/>
    </row>
    <row r="242" spans="2:2">
      <c r="B242" s="13"/>
    </row>
    <row r="243" spans="2:2">
      <c r="B243" s="13"/>
    </row>
    <row r="244" spans="2:2">
      <c r="B244" s="13"/>
    </row>
    <row r="245" spans="2:2">
      <c r="B245" s="13"/>
    </row>
    <row r="246" spans="2:2">
      <c r="B246" s="13"/>
    </row>
    <row r="247" spans="2:2">
      <c r="B247" s="13"/>
    </row>
    <row r="248" spans="2:2">
      <c r="B248" s="13"/>
    </row>
    <row r="249" spans="2:2">
      <c r="B249" s="13"/>
    </row>
    <row r="250" spans="2:2">
      <c r="B250" s="13"/>
    </row>
    <row r="251" spans="2:2">
      <c r="B251" s="13"/>
    </row>
    <row r="252" spans="2:2">
      <c r="B252" s="13"/>
    </row>
    <row r="253" spans="2:2">
      <c r="B253" s="13"/>
    </row>
    <row r="254" spans="2:2">
      <c r="B254" s="13"/>
    </row>
    <row r="255" spans="2:2">
      <c r="B255" s="13"/>
    </row>
    <row r="256" spans="2:2">
      <c r="B256" s="13"/>
    </row>
    <row r="257" spans="2:2">
      <c r="B257" s="13"/>
    </row>
    <row r="258" spans="2:2">
      <c r="B258" s="13"/>
    </row>
    <row r="259" spans="2:2">
      <c r="B259" s="13"/>
    </row>
    <row r="260" spans="2:2">
      <c r="B260" s="13"/>
    </row>
    <row r="261" spans="2:2">
      <c r="B261" s="13"/>
    </row>
    <row r="262" spans="2:2">
      <c r="B262" s="13"/>
    </row>
    <row r="263" spans="2:2">
      <c r="B263" s="13"/>
    </row>
    <row r="264" spans="2:2">
      <c r="B264" s="13"/>
    </row>
    <row r="265" spans="2:2">
      <c r="B265" s="13"/>
    </row>
    <row r="266" spans="2:2">
      <c r="B266" s="13"/>
    </row>
    <row r="267" spans="2:2">
      <c r="B267" s="13"/>
    </row>
    <row r="268" spans="2:2">
      <c r="B268" s="13"/>
    </row>
    <row r="269" spans="2:2">
      <c r="B269" s="13"/>
    </row>
    <row r="270" spans="2:2">
      <c r="B270" s="13"/>
    </row>
    <row r="271" spans="2:2">
      <c r="B271" s="13"/>
    </row>
    <row r="272" spans="2:2">
      <c r="B272" s="13"/>
    </row>
    <row r="273" spans="2:2">
      <c r="B273" s="13"/>
    </row>
    <row r="274" spans="2:2">
      <c r="B274" s="13"/>
    </row>
    <row r="275" spans="2:2">
      <c r="B275" s="13"/>
    </row>
    <row r="276" spans="2:2">
      <c r="B276" s="13"/>
    </row>
    <row r="277" spans="2:2">
      <c r="B277" s="13"/>
    </row>
    <row r="278" spans="2:2">
      <c r="B278" s="13"/>
    </row>
    <row r="279" spans="2:2">
      <c r="B279" s="13"/>
    </row>
    <row r="280" spans="2:2">
      <c r="B280" s="13"/>
    </row>
    <row r="281" spans="2:2">
      <c r="B281" s="13"/>
    </row>
    <row r="282" spans="2:2">
      <c r="B282" s="13"/>
    </row>
    <row r="283" spans="2:2">
      <c r="B283" s="13"/>
    </row>
    <row r="284" spans="2:2">
      <c r="B284" s="13"/>
    </row>
    <row r="285" spans="2:2">
      <c r="B285" s="13"/>
    </row>
    <row r="286" spans="2:2">
      <c r="B286" s="13"/>
    </row>
    <row r="287" spans="2:2">
      <c r="B287" s="13"/>
    </row>
    <row r="288" spans="2:2">
      <c r="B288" s="13"/>
    </row>
    <row r="289" spans="2:2">
      <c r="B289" s="13"/>
    </row>
    <row r="290" spans="2:2">
      <c r="B290" s="13"/>
    </row>
    <row r="291" spans="2:2">
      <c r="B291" s="13"/>
    </row>
    <row r="292" spans="2:2">
      <c r="B292" s="13"/>
    </row>
    <row r="293" spans="2:2">
      <c r="B293" s="13"/>
    </row>
    <row r="294" spans="2:2">
      <c r="B294" s="13"/>
    </row>
    <row r="295" spans="2:2">
      <c r="B295" s="13"/>
    </row>
    <row r="296" spans="2:2">
      <c r="B296" s="13"/>
    </row>
    <row r="297" spans="2:2">
      <c r="B297" s="13"/>
    </row>
    <row r="298" spans="2:2">
      <c r="B298" s="13"/>
    </row>
    <row r="299" spans="2:2">
      <c r="B299" s="13"/>
    </row>
    <row r="300" spans="2:2">
      <c r="B300" s="13"/>
    </row>
    <row r="301" spans="2:2">
      <c r="B301" s="13"/>
    </row>
    <row r="302" spans="2:2">
      <c r="B302" s="13"/>
    </row>
    <row r="303" spans="2:2">
      <c r="B303" s="13"/>
    </row>
    <row r="304" spans="2:2">
      <c r="B304" s="13"/>
    </row>
    <row r="305" spans="2:2">
      <c r="B305" s="13"/>
    </row>
    <row r="306" spans="2:2">
      <c r="B306" s="13"/>
    </row>
    <row r="307" spans="2:2">
      <c r="B307" s="13"/>
    </row>
    <row r="308" spans="2:2">
      <c r="B308" s="13"/>
    </row>
    <row r="309" spans="2:2">
      <c r="B309" s="13"/>
    </row>
    <row r="310" spans="2:2">
      <c r="B310" s="13"/>
    </row>
    <row r="311" spans="2:2">
      <c r="B311" s="13"/>
    </row>
    <row r="312" spans="2:2">
      <c r="B312" s="13"/>
    </row>
    <row r="313" spans="2:2">
      <c r="B313" s="13"/>
    </row>
    <row r="314" spans="2:2">
      <c r="B314" s="13"/>
    </row>
    <row r="315" spans="2:2">
      <c r="B315" s="13"/>
    </row>
    <row r="316" spans="2:2">
      <c r="B316" s="13"/>
    </row>
    <row r="317" spans="2:2">
      <c r="B317" s="13"/>
    </row>
    <row r="318" spans="2:2">
      <c r="B318" s="13"/>
    </row>
    <row r="319" spans="2:2">
      <c r="B319" s="13"/>
    </row>
    <row r="320" spans="2:2">
      <c r="B320" s="13"/>
    </row>
    <row r="321" spans="2:2">
      <c r="B321" s="13"/>
    </row>
    <row r="322" spans="2:2">
      <c r="B322" s="13"/>
    </row>
    <row r="323" spans="2:2">
      <c r="B323" s="13"/>
    </row>
    <row r="324" spans="2:2">
      <c r="B324" s="13"/>
    </row>
    <row r="325" spans="2:2">
      <c r="B325" s="13"/>
    </row>
    <row r="326" spans="2:2">
      <c r="B326" s="13"/>
    </row>
    <row r="327" spans="2:2">
      <c r="B327" s="13"/>
    </row>
    <row r="328" spans="2:2">
      <c r="B328" s="13"/>
    </row>
    <row r="329" spans="2:2">
      <c r="B329" s="13"/>
    </row>
    <row r="330" spans="2:2">
      <c r="B330" s="13"/>
    </row>
    <row r="331" spans="2:2">
      <c r="B331" s="13"/>
    </row>
    <row r="332" spans="2:2">
      <c r="B332" s="13"/>
    </row>
    <row r="333" spans="2:2">
      <c r="B333" s="13"/>
    </row>
    <row r="334" spans="2:2">
      <c r="B334" s="13"/>
    </row>
    <row r="335" spans="2:2">
      <c r="B335" s="13"/>
    </row>
    <row r="336" spans="2:2">
      <c r="B336" s="13"/>
    </row>
    <row r="337" spans="2:2">
      <c r="B337" s="13"/>
    </row>
    <row r="338" spans="2:2">
      <c r="B338" s="13"/>
    </row>
    <row r="339" spans="2:2">
      <c r="B339" s="13"/>
    </row>
    <row r="340" spans="2:2">
      <c r="B340" s="13"/>
    </row>
    <row r="341" spans="2:2">
      <c r="B341" s="13"/>
    </row>
    <row r="342" spans="2:2">
      <c r="B342" s="13"/>
    </row>
    <row r="343" spans="2:2">
      <c r="B343" s="13"/>
    </row>
    <row r="344" spans="2:2">
      <c r="B344" s="13"/>
    </row>
    <row r="345" spans="2:2">
      <c r="B345" s="13"/>
    </row>
    <row r="346" spans="2:2">
      <c r="B346" s="13"/>
    </row>
    <row r="347" spans="2:2">
      <c r="B347" s="13"/>
    </row>
    <row r="348" spans="2:2">
      <c r="B348" s="13"/>
    </row>
    <row r="349" spans="2:2">
      <c r="B349" s="13"/>
    </row>
    <row r="350" spans="2:2">
      <c r="B350" s="13"/>
    </row>
    <row r="351" spans="2:2">
      <c r="B351" s="13"/>
    </row>
    <row r="352" spans="2:2">
      <c r="B352" s="13"/>
    </row>
    <row r="353" spans="2:2">
      <c r="B353" s="13"/>
    </row>
    <row r="354" spans="2:2">
      <c r="B354" s="13"/>
    </row>
    <row r="355" spans="2:2">
      <c r="B355" s="13"/>
    </row>
    <row r="356" spans="2:2">
      <c r="B356" s="13"/>
    </row>
    <row r="357" spans="2:2">
      <c r="B357" s="13"/>
    </row>
    <row r="358" spans="2:2">
      <c r="B358" s="13"/>
    </row>
    <row r="359" spans="2:2">
      <c r="B359" s="13"/>
    </row>
    <row r="360" spans="2:2">
      <c r="B360" s="13"/>
    </row>
    <row r="361" spans="2:2">
      <c r="B361" s="13"/>
    </row>
    <row r="362" spans="2:2">
      <c r="B362" s="13"/>
    </row>
    <row r="363" spans="2:2">
      <c r="B363" s="13"/>
    </row>
    <row r="364" spans="2:2">
      <c r="B364" s="13"/>
    </row>
    <row r="365" spans="2:2">
      <c r="B365" s="13"/>
    </row>
    <row r="366" spans="2:2">
      <c r="B366" s="13"/>
    </row>
    <row r="367" spans="2:2">
      <c r="B367" s="13"/>
    </row>
    <row r="368" spans="2:2">
      <c r="B368" s="13"/>
    </row>
    <row r="369" spans="2:2">
      <c r="B369" s="13"/>
    </row>
    <row r="370" spans="2:2">
      <c r="B370" s="13"/>
    </row>
    <row r="371" spans="2:2">
      <c r="B371" s="13"/>
    </row>
    <row r="372" spans="2:2">
      <c r="B372" s="13"/>
    </row>
    <row r="373" spans="2:2">
      <c r="B373" s="13"/>
    </row>
    <row r="374" spans="2:2">
      <c r="B374" s="13"/>
    </row>
    <row r="375" spans="2:2">
      <c r="B375" s="13"/>
    </row>
    <row r="376" spans="2:2">
      <c r="B376" s="13"/>
    </row>
    <row r="377" spans="2:2">
      <c r="B377" s="13"/>
    </row>
    <row r="378" spans="2:2">
      <c r="B378" s="13"/>
    </row>
    <row r="379" spans="2:2">
      <c r="B379" s="13"/>
    </row>
    <row r="380" spans="2:2">
      <c r="B380" s="13"/>
    </row>
    <row r="381" spans="2:2">
      <c r="B381" s="13"/>
    </row>
    <row r="382" spans="2:2">
      <c r="B382" s="13"/>
    </row>
    <row r="383" spans="2:2">
      <c r="B383" s="13"/>
    </row>
    <row r="384" spans="2:2">
      <c r="B384" s="13"/>
    </row>
    <row r="385" spans="2:2">
      <c r="B385" s="13"/>
    </row>
    <row r="386" spans="2:2">
      <c r="B386" s="13"/>
    </row>
    <row r="387" spans="2:2">
      <c r="B387" s="13"/>
    </row>
    <row r="388" spans="2:2">
      <c r="B388" s="13"/>
    </row>
    <row r="389" spans="2:2">
      <c r="B389" s="13"/>
    </row>
    <row r="390" spans="2:2">
      <c r="B390" s="13"/>
    </row>
    <row r="391" spans="2:2">
      <c r="B391" s="13"/>
    </row>
    <row r="392" spans="2:2">
      <c r="B392" s="13"/>
    </row>
    <row r="393" spans="2:2">
      <c r="B393" s="13"/>
    </row>
    <row r="394" spans="2:2">
      <c r="B394" s="13"/>
    </row>
    <row r="395" spans="2:2">
      <c r="B395" s="13"/>
    </row>
    <row r="396" spans="2:2">
      <c r="B396" s="13"/>
    </row>
    <row r="397" spans="2:2">
      <c r="B397" s="13"/>
    </row>
    <row r="398" spans="2:2">
      <c r="B398" s="13"/>
    </row>
    <row r="399" spans="2:2">
      <c r="B399" s="13"/>
    </row>
    <row r="400" spans="2:2">
      <c r="B400" s="13"/>
    </row>
    <row r="401" spans="2:2">
      <c r="B401" s="13"/>
    </row>
    <row r="402" spans="2:2">
      <c r="B402" s="13"/>
    </row>
    <row r="403" spans="2:2">
      <c r="B403" s="13"/>
    </row>
    <row r="404" spans="2:2">
      <c r="B404" s="13"/>
    </row>
    <row r="405" spans="2:2">
      <c r="B405" s="13"/>
    </row>
    <row r="406" spans="2:2">
      <c r="B406" s="13"/>
    </row>
    <row r="407" spans="2:2">
      <c r="B407" s="13"/>
    </row>
    <row r="408" spans="2:2">
      <c r="B408" s="13"/>
    </row>
    <row r="409" spans="2:2">
      <c r="B409" s="13"/>
    </row>
    <row r="410" spans="2:2">
      <c r="B410" s="13"/>
    </row>
    <row r="411" spans="2:2">
      <c r="B411" s="13"/>
    </row>
    <row r="412" spans="2:2">
      <c r="B412" s="13"/>
    </row>
    <row r="413" spans="2:2">
      <c r="B413" s="13"/>
    </row>
    <row r="414" spans="2:2">
      <c r="B414" s="13"/>
    </row>
    <row r="415" spans="2:2">
      <c r="B415" s="13"/>
    </row>
    <row r="416" spans="2:2">
      <c r="B416" s="13"/>
    </row>
    <row r="417" spans="2:2">
      <c r="B417" s="13"/>
    </row>
    <row r="418" spans="2:2">
      <c r="B418" s="13"/>
    </row>
    <row r="419" spans="2:2">
      <c r="B419" s="13"/>
    </row>
    <row r="420" spans="2:2">
      <c r="B420" s="13"/>
    </row>
    <row r="421" spans="2:2">
      <c r="B421" s="13"/>
    </row>
    <row r="422" spans="2:2">
      <c r="B422" s="13"/>
    </row>
    <row r="423" spans="2:2">
      <c r="B423" s="13"/>
    </row>
    <row r="424" spans="2:2">
      <c r="B424" s="13"/>
    </row>
    <row r="425" spans="2:2">
      <c r="B425" s="13"/>
    </row>
    <row r="426" spans="2:2">
      <c r="B426" s="13"/>
    </row>
    <row r="427" spans="2:2">
      <c r="B427" s="13"/>
    </row>
    <row r="428" spans="2:2">
      <c r="B428" s="13"/>
    </row>
    <row r="429" spans="2:2">
      <c r="B429" s="13"/>
    </row>
    <row r="430" spans="2:2">
      <c r="B430" s="13"/>
    </row>
    <row r="431" spans="2:2">
      <c r="B431" s="13"/>
    </row>
    <row r="432" spans="2:2">
      <c r="B432" s="13"/>
    </row>
    <row r="433" spans="2:2">
      <c r="B433" s="13"/>
    </row>
    <row r="434" spans="2:2">
      <c r="B434" s="13"/>
    </row>
    <row r="435" spans="2:2">
      <c r="B435" s="13"/>
    </row>
    <row r="436" spans="2:2">
      <c r="B436" s="13"/>
    </row>
    <row r="437" spans="2:2">
      <c r="B437" s="13"/>
    </row>
    <row r="438" spans="2:2">
      <c r="B438" s="13"/>
    </row>
    <row r="439" spans="2:2">
      <c r="B439" s="13"/>
    </row>
    <row r="440" spans="2:2">
      <c r="B440" s="13"/>
    </row>
    <row r="441" spans="2:2">
      <c r="B441" s="13"/>
    </row>
    <row r="442" spans="2:2">
      <c r="B442" s="13"/>
    </row>
    <row r="443" spans="2:2">
      <c r="B443" s="13"/>
    </row>
    <row r="444" spans="2:2">
      <c r="B444" s="13"/>
    </row>
    <row r="445" spans="2:2">
      <c r="B445" s="13"/>
    </row>
    <row r="446" spans="2:2">
      <c r="B446" s="13"/>
    </row>
    <row r="447" spans="2:2">
      <c r="B447" s="13"/>
    </row>
    <row r="448" spans="2:2">
      <c r="B448" s="13"/>
    </row>
    <row r="449" spans="2:2">
      <c r="B449" s="13"/>
    </row>
    <row r="450" spans="2:2">
      <c r="B450" s="13"/>
    </row>
    <row r="451" spans="2:2">
      <c r="B451" s="13"/>
    </row>
    <row r="452" spans="2:2">
      <c r="B452" s="13"/>
    </row>
    <row r="453" spans="2:2">
      <c r="B453" s="13"/>
    </row>
    <row r="454" spans="2:2">
      <c r="B454" s="13"/>
    </row>
    <row r="455" spans="2:2">
      <c r="B455" s="13"/>
    </row>
    <row r="456" spans="2:2">
      <c r="B456" s="13"/>
    </row>
    <row r="457" spans="2:2">
      <c r="B457" s="13"/>
    </row>
    <row r="458" spans="2:2">
      <c r="B458" s="13"/>
    </row>
    <row r="459" spans="2:2">
      <c r="B459" s="13"/>
    </row>
    <row r="460" spans="2:2">
      <c r="B460" s="13"/>
    </row>
    <row r="461" spans="2:2">
      <c r="B461" s="13"/>
    </row>
    <row r="462" spans="2:2">
      <c r="B462" s="13"/>
    </row>
    <row r="463" spans="2:2">
      <c r="B463" s="13"/>
    </row>
    <row r="464" spans="2:2">
      <c r="B464" s="13"/>
    </row>
    <row r="465" spans="2:2">
      <c r="B465" s="13"/>
    </row>
    <row r="466" spans="2:2">
      <c r="B466" s="13"/>
    </row>
    <row r="467" spans="2:2">
      <c r="B467" s="13"/>
    </row>
    <row r="468" spans="2:2">
      <c r="B468" s="13"/>
    </row>
    <row r="469" spans="2:2">
      <c r="B469" s="13"/>
    </row>
    <row r="470" spans="2:2">
      <c r="B470" s="13"/>
    </row>
    <row r="471" spans="2:2">
      <c r="B471" s="13"/>
    </row>
    <row r="472" spans="2:2">
      <c r="B472" s="13"/>
    </row>
    <row r="473" spans="2:2">
      <c r="B473" s="13"/>
    </row>
    <row r="474" spans="2:2">
      <c r="B474" s="13"/>
    </row>
    <row r="475" spans="2:2">
      <c r="B475" s="13"/>
    </row>
    <row r="476" spans="2:2">
      <c r="B476" s="13"/>
    </row>
    <row r="477" spans="2:2">
      <c r="B477" s="13"/>
    </row>
    <row r="478" spans="2:2">
      <c r="B478" s="13"/>
    </row>
    <row r="479" spans="2:2">
      <c r="B479" s="13"/>
    </row>
    <row r="480" spans="2:2">
      <c r="B480" s="13"/>
    </row>
    <row r="481" spans="2:2">
      <c r="B481" s="13"/>
    </row>
    <row r="482" spans="2:2">
      <c r="B482" s="13"/>
    </row>
    <row r="483" spans="2:2">
      <c r="B483" s="13"/>
    </row>
    <row r="484" spans="2:2">
      <c r="B484" s="13"/>
    </row>
    <row r="485" spans="2:2">
      <c r="B485" s="13"/>
    </row>
    <row r="486" spans="2:2">
      <c r="B486" s="13"/>
    </row>
    <row r="487" spans="2:2">
      <c r="B487" s="13"/>
    </row>
    <row r="488" spans="2:2">
      <c r="B488" s="13"/>
    </row>
    <row r="489" spans="2:2">
      <c r="B489" s="13"/>
    </row>
    <row r="490" spans="2:2">
      <c r="B490" s="13"/>
    </row>
    <row r="491" spans="2:2">
      <c r="B491" s="13"/>
    </row>
    <row r="492" spans="2:2">
      <c r="B492" s="13"/>
    </row>
    <row r="493" spans="2:2">
      <c r="B493" s="13"/>
    </row>
    <row r="494" spans="2:2">
      <c r="B494" s="13"/>
    </row>
    <row r="495" spans="2:2">
      <c r="B495" s="13"/>
    </row>
    <row r="496" spans="2:2">
      <c r="B496" s="13"/>
    </row>
    <row r="497" spans="2:2">
      <c r="B497" s="13"/>
    </row>
    <row r="498" spans="2:2">
      <c r="B498" s="13"/>
    </row>
    <row r="499" spans="2:2">
      <c r="B499" s="13"/>
    </row>
    <row r="500" spans="2:2">
      <c r="B500" s="13"/>
    </row>
    <row r="501" spans="2:2">
      <c r="B501" s="13"/>
    </row>
    <row r="502" spans="2:2">
      <c r="B502" s="13"/>
    </row>
    <row r="503" spans="2:2">
      <c r="B503" s="13"/>
    </row>
    <row r="504" spans="2:2">
      <c r="B504" s="13"/>
    </row>
    <row r="505" spans="2:2">
      <c r="B505" s="13"/>
    </row>
    <row r="506" spans="2:2">
      <c r="B506" s="13"/>
    </row>
    <row r="507" spans="2:2">
      <c r="B507" s="13"/>
    </row>
    <row r="508" spans="2:2">
      <c r="B508" s="13"/>
    </row>
    <row r="509" spans="2:2">
      <c r="B509" s="13"/>
    </row>
    <row r="510" spans="2:2">
      <c r="B510" s="13"/>
    </row>
    <row r="511" spans="2:2">
      <c r="B511" s="13"/>
    </row>
    <row r="512" spans="2:2">
      <c r="B512" s="13"/>
    </row>
    <row r="513" spans="2:2">
      <c r="B513" s="13"/>
    </row>
    <row r="514" spans="2:2">
      <c r="B514" s="13"/>
    </row>
    <row r="515" spans="2:2">
      <c r="B515" s="13"/>
    </row>
    <row r="516" spans="2:2">
      <c r="B516" s="13"/>
    </row>
    <row r="517" spans="2:2">
      <c r="B517" s="13"/>
    </row>
    <row r="518" spans="2:2">
      <c r="B518" s="13"/>
    </row>
    <row r="519" spans="2:2">
      <c r="B519" s="13"/>
    </row>
    <row r="520" spans="2:2">
      <c r="B520" s="13"/>
    </row>
    <row r="521" spans="2:2">
      <c r="B521" s="13"/>
    </row>
    <row r="522" spans="2:2">
      <c r="B522" s="13"/>
    </row>
    <row r="523" spans="2:2">
      <c r="B523" s="13"/>
    </row>
    <row r="524" spans="2:2">
      <c r="B524" s="13"/>
    </row>
    <row r="525" spans="2:2">
      <c r="B525" s="13"/>
    </row>
    <row r="526" spans="2:2">
      <c r="B526" s="13"/>
    </row>
    <row r="527" spans="2:2">
      <c r="B527" s="13"/>
    </row>
    <row r="528" spans="2:2">
      <c r="B528" s="13"/>
    </row>
    <row r="529" spans="2:2">
      <c r="B529" s="13"/>
    </row>
    <row r="530" spans="2:2">
      <c r="B530" s="13"/>
    </row>
    <row r="531" spans="2:2">
      <c r="B531" s="13"/>
    </row>
    <row r="532" spans="2:2">
      <c r="B532" s="13"/>
    </row>
    <row r="533" spans="2:2">
      <c r="B533" s="13"/>
    </row>
    <row r="534" spans="2:2">
      <c r="B534" s="13"/>
    </row>
    <row r="535" spans="2:2">
      <c r="B535" s="13"/>
    </row>
    <row r="536" spans="2:2">
      <c r="B536" s="13"/>
    </row>
    <row r="537" spans="2:2">
      <c r="B537" s="13"/>
    </row>
    <row r="538" spans="2:2">
      <c r="B538" s="13"/>
    </row>
    <row r="539" spans="2:2">
      <c r="B539" s="13"/>
    </row>
    <row r="540" spans="2:2">
      <c r="B540" s="13"/>
    </row>
    <row r="541" spans="2:2">
      <c r="B541" s="13"/>
    </row>
    <row r="542" spans="2:2">
      <c r="B542" s="13"/>
    </row>
    <row r="543" spans="2:2">
      <c r="B543" s="13"/>
    </row>
    <row r="544" spans="2:2">
      <c r="B544" s="13"/>
    </row>
    <row r="545" spans="2:2">
      <c r="B545" s="13"/>
    </row>
    <row r="546" spans="2:2">
      <c r="B546" s="13"/>
    </row>
    <row r="547" spans="2:2">
      <c r="B547" s="13"/>
    </row>
    <row r="548" spans="2:2">
      <c r="B548" s="13"/>
    </row>
    <row r="549" spans="2:2">
      <c r="B549" s="13"/>
    </row>
    <row r="550" spans="2:2">
      <c r="B550" s="13"/>
    </row>
    <row r="551" spans="2:2">
      <c r="B551" s="13"/>
    </row>
    <row r="552" spans="2:2">
      <c r="B552" s="13"/>
    </row>
    <row r="553" spans="2:2">
      <c r="B553" s="13"/>
    </row>
    <row r="554" spans="2:2">
      <c r="B554" s="13"/>
    </row>
    <row r="555" spans="2:2">
      <c r="B555" s="13"/>
    </row>
    <row r="556" spans="2:2">
      <c r="B556" s="13"/>
    </row>
    <row r="557" spans="2:2">
      <c r="B557" s="13"/>
    </row>
    <row r="558" spans="2:2">
      <c r="B558" s="13"/>
    </row>
    <row r="559" spans="2:2">
      <c r="B559" s="13"/>
    </row>
    <row r="560" spans="2:2">
      <c r="B560" s="13"/>
    </row>
    <row r="561" spans="2:2">
      <c r="B561" s="13"/>
    </row>
    <row r="562" spans="2:2">
      <c r="B562" s="13"/>
    </row>
    <row r="563" spans="2:2">
      <c r="B563" s="13"/>
    </row>
    <row r="564" spans="2:2">
      <c r="B564" s="13"/>
    </row>
    <row r="565" spans="2:2">
      <c r="B565" s="13"/>
    </row>
    <row r="566" spans="2:2">
      <c r="B566" s="13"/>
    </row>
    <row r="567" spans="2:2">
      <c r="B567" s="13"/>
    </row>
    <row r="568" spans="2:2">
      <c r="B568" s="13"/>
    </row>
    <row r="569" spans="2:2">
      <c r="B569" s="13"/>
    </row>
    <row r="570" spans="2:2">
      <c r="B570" s="13"/>
    </row>
    <row r="571" spans="2:2">
      <c r="B571" s="13"/>
    </row>
    <row r="572" spans="2:2">
      <c r="B572" s="13"/>
    </row>
    <row r="573" spans="2:2">
      <c r="B573" s="13"/>
    </row>
    <row r="574" spans="2:2">
      <c r="B574" s="13"/>
    </row>
    <row r="575" spans="2:2">
      <c r="B575" s="13"/>
    </row>
    <row r="576" spans="2:2">
      <c r="B576" s="13"/>
    </row>
    <row r="577" spans="2:2">
      <c r="B577" s="13"/>
    </row>
    <row r="578" spans="2:2">
      <c r="B578" s="13"/>
    </row>
    <row r="579" spans="2:2">
      <c r="B579" s="13"/>
    </row>
    <row r="580" spans="2:2">
      <c r="B580" s="13"/>
    </row>
    <row r="581" spans="2:2">
      <c r="B581" s="13"/>
    </row>
    <row r="582" spans="2:2">
      <c r="B582" s="13"/>
    </row>
    <row r="583" spans="2:2">
      <c r="B583" s="13"/>
    </row>
    <row r="584" spans="2:2">
      <c r="B584" s="13"/>
    </row>
    <row r="585" spans="2:2">
      <c r="B585" s="13"/>
    </row>
    <row r="586" spans="2:2">
      <c r="B586" s="13"/>
    </row>
    <row r="587" spans="2:2">
      <c r="B587" s="13"/>
    </row>
    <row r="588" spans="2:2">
      <c r="B588" s="13"/>
    </row>
    <row r="589" spans="2:2">
      <c r="B589" s="13"/>
    </row>
    <row r="590" spans="2:2">
      <c r="B590" s="13"/>
    </row>
    <row r="591" spans="2:2">
      <c r="B591" s="13"/>
    </row>
    <row r="592" spans="2:2">
      <c r="B592" s="13"/>
    </row>
    <row r="593" spans="2:2">
      <c r="B593" s="13"/>
    </row>
    <row r="594" spans="2:2">
      <c r="B594" s="13"/>
    </row>
    <row r="595" spans="2:2">
      <c r="B595" s="13"/>
    </row>
    <row r="596" spans="2:2">
      <c r="B596" s="13"/>
    </row>
    <row r="597" spans="2:2">
      <c r="B597" s="13"/>
    </row>
    <row r="598" spans="2:2">
      <c r="B598" s="13"/>
    </row>
    <row r="599" spans="2:2">
      <c r="B599" s="13"/>
    </row>
    <row r="600" spans="2:2">
      <c r="B600" s="13"/>
    </row>
    <row r="601" spans="2:2">
      <c r="B601" s="13"/>
    </row>
    <row r="602" spans="2:2">
      <c r="B602" s="13"/>
    </row>
    <row r="603" spans="2:2">
      <c r="B603" s="13"/>
    </row>
    <row r="604" spans="2:2">
      <c r="B604" s="13"/>
    </row>
    <row r="605" spans="2:2">
      <c r="B605" s="13"/>
    </row>
    <row r="606" spans="2:2">
      <c r="B606" s="13"/>
    </row>
    <row r="607" spans="2:2">
      <c r="B607" s="13"/>
    </row>
    <row r="608" spans="2:2">
      <c r="B608" s="13"/>
    </row>
    <row r="609" spans="2:2">
      <c r="B609" s="13"/>
    </row>
    <row r="610" spans="2:2">
      <c r="B610" s="13"/>
    </row>
    <row r="611" spans="2:2">
      <c r="B611" s="13"/>
    </row>
    <row r="612" spans="2:2">
      <c r="B612" s="13"/>
    </row>
    <row r="613" spans="2:2">
      <c r="B613" s="13"/>
    </row>
    <row r="614" spans="2:2">
      <c r="B614" s="13"/>
    </row>
    <row r="615" spans="2:2">
      <c r="B615" s="13"/>
    </row>
    <row r="616" spans="2:2">
      <c r="B616" s="13"/>
    </row>
    <row r="617" spans="2:2">
      <c r="B617" s="13"/>
    </row>
    <row r="618" spans="2:2">
      <c r="B618" s="13"/>
    </row>
    <row r="619" spans="2:2">
      <c r="B619" s="13"/>
    </row>
    <row r="620" spans="2:2">
      <c r="B620" s="13"/>
    </row>
    <row r="621" spans="2:2">
      <c r="B621" s="13"/>
    </row>
    <row r="622" spans="2:2">
      <c r="B622" s="13"/>
    </row>
    <row r="623" spans="2:2">
      <c r="B623" s="13"/>
    </row>
    <row r="624" spans="2:2">
      <c r="B624" s="13"/>
    </row>
    <row r="625" spans="2:2">
      <c r="B625" s="13"/>
    </row>
    <row r="626" spans="2:2">
      <c r="B626" s="13"/>
    </row>
    <row r="627" spans="2:2">
      <c r="B627" s="13"/>
    </row>
    <row r="628" spans="2:2">
      <c r="B628" s="13"/>
    </row>
    <row r="629" spans="2:2">
      <c r="B629" s="13"/>
    </row>
    <row r="630" spans="2:2">
      <c r="B630" s="13"/>
    </row>
    <row r="631" spans="2:2">
      <c r="B631" s="13"/>
    </row>
    <row r="632" spans="2:2">
      <c r="B632" s="13"/>
    </row>
    <row r="633" spans="2:2">
      <c r="B633" s="13"/>
    </row>
    <row r="634" spans="2:2">
      <c r="B634" s="13"/>
    </row>
    <row r="635" spans="2:2">
      <c r="B635" s="13"/>
    </row>
    <row r="636" spans="2:2">
      <c r="B636" s="13"/>
    </row>
    <row r="637" spans="2:2">
      <c r="B637" s="13"/>
    </row>
    <row r="638" spans="2:2">
      <c r="B638" s="13"/>
    </row>
    <row r="639" spans="2:2">
      <c r="B639" s="13"/>
    </row>
    <row r="640" spans="2:2">
      <c r="B640" s="13"/>
    </row>
    <row r="641" spans="2:2">
      <c r="B641" s="13"/>
    </row>
    <row r="642" spans="2:2">
      <c r="B642" s="13"/>
    </row>
    <row r="643" spans="2:2">
      <c r="B643" s="13"/>
    </row>
    <row r="644" spans="2:2">
      <c r="B644" s="13"/>
    </row>
    <row r="645" spans="2:2">
      <c r="B645" s="13"/>
    </row>
    <row r="646" spans="2:2">
      <c r="B646" s="13"/>
    </row>
    <row r="647" spans="2:2">
      <c r="B647" s="13"/>
    </row>
    <row r="648" spans="2:2">
      <c r="B648" s="13"/>
    </row>
    <row r="649" spans="2:2">
      <c r="B649" s="13"/>
    </row>
    <row r="650" spans="2:2">
      <c r="B650" s="13"/>
    </row>
    <row r="651" spans="2:2">
      <c r="B651" s="13"/>
    </row>
    <row r="652" spans="2:2">
      <c r="B652" s="13"/>
    </row>
    <row r="653" spans="2:2">
      <c r="B653" s="13"/>
    </row>
    <row r="654" spans="2:2">
      <c r="B654" s="13"/>
    </row>
    <row r="655" spans="2:2">
      <c r="B655" s="13"/>
    </row>
    <row r="656" spans="2:2">
      <c r="B656" s="13"/>
    </row>
    <row r="657" spans="2:2">
      <c r="B657" s="13"/>
    </row>
    <row r="658" spans="2:2">
      <c r="B658" s="13"/>
    </row>
    <row r="659" spans="2:2">
      <c r="B659" s="13"/>
    </row>
    <row r="660" spans="2:2">
      <c r="B660" s="13"/>
    </row>
    <row r="661" spans="2:2">
      <c r="B661" s="13"/>
    </row>
    <row r="662" spans="2:2">
      <c r="B662" s="13"/>
    </row>
    <row r="663" spans="2:2">
      <c r="B663" s="13"/>
    </row>
    <row r="664" spans="2:2">
      <c r="B664" s="13"/>
    </row>
    <row r="665" spans="2:2">
      <c r="B665" s="13"/>
    </row>
    <row r="666" spans="2:2">
      <c r="B666" s="13"/>
    </row>
    <row r="667" spans="2:2">
      <c r="B667" s="13"/>
    </row>
    <row r="668" spans="2:2">
      <c r="B668" s="13"/>
    </row>
    <row r="669" spans="2:2">
      <c r="B669" s="13"/>
    </row>
    <row r="670" spans="2:2">
      <c r="B670" s="13"/>
    </row>
    <row r="671" spans="2:2">
      <c r="B671" s="13"/>
    </row>
    <row r="672" spans="2:2">
      <c r="B672" s="13"/>
    </row>
    <row r="673" spans="2:2">
      <c r="B673" s="13"/>
    </row>
    <row r="674" spans="2:2">
      <c r="B674" s="13"/>
    </row>
    <row r="675" spans="2:2">
      <c r="B675" s="13"/>
    </row>
    <row r="676" spans="2:2">
      <c r="B676" s="13"/>
    </row>
    <row r="677" spans="2:2">
      <c r="B677" s="13"/>
    </row>
    <row r="678" spans="2:2">
      <c r="B678" s="13"/>
    </row>
    <row r="679" spans="2:2">
      <c r="B679" s="13"/>
    </row>
    <row r="680" spans="2:2">
      <c r="B680" s="13"/>
    </row>
    <row r="681" spans="2:2">
      <c r="B681" s="13"/>
    </row>
    <row r="682" spans="2:2">
      <c r="B682" s="13"/>
    </row>
    <row r="683" spans="2:2">
      <c r="B683" s="13"/>
    </row>
    <row r="684" spans="2:2">
      <c r="B684" s="13"/>
    </row>
    <row r="685" spans="2:2">
      <c r="B685" s="13"/>
    </row>
    <row r="686" spans="2:2">
      <c r="B686" s="13"/>
    </row>
    <row r="687" spans="2:2">
      <c r="B687" s="13"/>
    </row>
    <row r="688" spans="2:2">
      <c r="B688" s="13"/>
    </row>
    <row r="689" spans="2:2">
      <c r="B689" s="13"/>
    </row>
    <row r="690" spans="2:2">
      <c r="B690" s="13"/>
    </row>
    <row r="691" spans="2:2">
      <c r="B691" s="13"/>
    </row>
    <row r="692" spans="2:2">
      <c r="B692" s="13"/>
    </row>
    <row r="693" spans="2:2">
      <c r="B693" s="13"/>
    </row>
    <row r="694" spans="2:2">
      <c r="B694" s="13"/>
    </row>
    <row r="695" spans="2:2">
      <c r="B695" s="13"/>
    </row>
    <row r="696" spans="2:2">
      <c r="B696" s="13"/>
    </row>
    <row r="697" spans="2:2">
      <c r="B697" s="13"/>
    </row>
    <row r="698" spans="2:2">
      <c r="B698" s="13"/>
    </row>
    <row r="699" spans="2:2">
      <c r="B699" s="13"/>
    </row>
    <row r="700" spans="2:2">
      <c r="B700" s="13"/>
    </row>
    <row r="701" spans="2:2">
      <c r="B701" s="13"/>
    </row>
    <row r="702" spans="2:2">
      <c r="B702" s="13"/>
    </row>
    <row r="703" spans="2:2">
      <c r="B703" s="13"/>
    </row>
    <row r="704" spans="2:2">
      <c r="B704" s="13"/>
    </row>
    <row r="705" spans="2:2">
      <c r="B705" s="13"/>
    </row>
    <row r="706" spans="2:2">
      <c r="B706" s="13"/>
    </row>
    <row r="707" spans="2:2">
      <c r="B707" s="13"/>
    </row>
    <row r="708" spans="2:2">
      <c r="B708" s="13"/>
    </row>
    <row r="709" spans="2:2">
      <c r="B709" s="13"/>
    </row>
    <row r="710" spans="2:2">
      <c r="B710" s="13"/>
    </row>
    <row r="711" spans="2:2">
      <c r="B711" s="13"/>
    </row>
    <row r="712" spans="2:2">
      <c r="B712" s="13"/>
    </row>
    <row r="713" spans="2:2">
      <c r="B713" s="13"/>
    </row>
    <row r="714" spans="2:2">
      <c r="B714" s="13"/>
    </row>
    <row r="715" spans="2:2">
      <c r="B715" s="13"/>
    </row>
    <row r="716" spans="2:2">
      <c r="B716" s="13"/>
    </row>
    <row r="717" spans="2:2">
      <c r="B717" s="13"/>
    </row>
    <row r="718" spans="2:2">
      <c r="B718" s="13"/>
    </row>
    <row r="719" spans="2:2">
      <c r="B719" s="13"/>
    </row>
    <row r="720" spans="2:2">
      <c r="B720" s="13"/>
    </row>
    <row r="721" spans="2:2">
      <c r="B721" s="13"/>
    </row>
    <row r="722" spans="2:2">
      <c r="B722" s="13"/>
    </row>
    <row r="723" spans="2:2">
      <c r="B723" s="13"/>
    </row>
    <row r="724" spans="2:2">
      <c r="B724" s="13"/>
    </row>
    <row r="725" spans="2:2">
      <c r="B725" s="13"/>
    </row>
    <row r="726" spans="2:2">
      <c r="B726" s="13"/>
    </row>
    <row r="727" spans="2:2">
      <c r="B727" s="13"/>
    </row>
    <row r="728" spans="2:2">
      <c r="B728" s="13"/>
    </row>
    <row r="729" spans="2:2">
      <c r="B729" s="13"/>
    </row>
    <row r="730" spans="2:2">
      <c r="B730" s="13"/>
    </row>
    <row r="731" spans="2:2">
      <c r="B731" s="13"/>
    </row>
    <row r="732" spans="2:2">
      <c r="B732" s="13"/>
    </row>
    <row r="733" spans="2:2">
      <c r="B733" s="13"/>
    </row>
    <row r="734" spans="2:2">
      <c r="B734" s="13"/>
    </row>
    <row r="735" spans="2:2">
      <c r="B735" s="13"/>
    </row>
    <row r="736" spans="2:2">
      <c r="B736" s="13"/>
    </row>
    <row r="737" spans="2:2">
      <c r="B737" s="13"/>
    </row>
    <row r="738" spans="2:2">
      <c r="B738" s="13"/>
    </row>
    <row r="739" spans="2:2">
      <c r="B739" s="13"/>
    </row>
    <row r="740" spans="2:2">
      <c r="B740" s="13"/>
    </row>
    <row r="741" spans="2:2">
      <c r="B741" s="13"/>
    </row>
    <row r="742" spans="2:2">
      <c r="B742" s="13"/>
    </row>
    <row r="743" spans="2:2">
      <c r="B743" s="13"/>
    </row>
    <row r="744" spans="2:2">
      <c r="B744" s="13"/>
    </row>
    <row r="745" spans="2:2">
      <c r="B745" s="13"/>
    </row>
    <row r="746" spans="2:2">
      <c r="B746" s="13"/>
    </row>
    <row r="747" spans="2:2">
      <c r="B747" s="13"/>
    </row>
    <row r="748" spans="2:2">
      <c r="B748" s="13"/>
    </row>
    <row r="749" spans="2:2">
      <c r="B749" s="13"/>
    </row>
    <row r="750" spans="2:2">
      <c r="B750" s="13"/>
    </row>
    <row r="751" spans="2:2">
      <c r="B751" s="13"/>
    </row>
    <row r="752" spans="2:2">
      <c r="B752" s="13"/>
    </row>
    <row r="753" spans="2:2">
      <c r="B753" s="13"/>
    </row>
    <row r="754" spans="2:2">
      <c r="B754" s="13"/>
    </row>
    <row r="755" spans="2:2">
      <c r="B755" s="13"/>
    </row>
    <row r="756" spans="2:2">
      <c r="B756" s="13"/>
    </row>
    <row r="757" spans="2:2">
      <c r="B757" s="13"/>
    </row>
    <row r="758" spans="2:2">
      <c r="B758" s="13"/>
    </row>
    <row r="759" spans="2:2">
      <c r="B759" s="13"/>
    </row>
    <row r="760" spans="2:2">
      <c r="B760" s="13"/>
    </row>
    <row r="761" spans="2:2">
      <c r="B761" s="13"/>
    </row>
    <row r="762" spans="2:2">
      <c r="B762" s="13"/>
    </row>
    <row r="763" spans="2:2">
      <c r="B763" s="13"/>
    </row>
    <row r="764" spans="2:2">
      <c r="B764" s="13"/>
    </row>
    <row r="765" spans="2:2">
      <c r="B765" s="13"/>
    </row>
    <row r="766" spans="2:2">
      <c r="B766" s="13"/>
    </row>
    <row r="767" spans="2:2">
      <c r="B767" s="13"/>
    </row>
    <row r="768" spans="2:2">
      <c r="B768" s="13"/>
    </row>
    <row r="769" spans="2:2">
      <c r="B769" s="13"/>
    </row>
    <row r="770" spans="2:2">
      <c r="B770" s="13"/>
    </row>
    <row r="771" spans="2:2">
      <c r="B771" s="13"/>
    </row>
    <row r="772" spans="2:2">
      <c r="B772" s="13"/>
    </row>
    <row r="773" spans="2:2">
      <c r="B773" s="13"/>
    </row>
    <row r="774" spans="2:2">
      <c r="B774" s="13"/>
    </row>
    <row r="775" spans="2:2">
      <c r="B775" s="13"/>
    </row>
    <row r="776" spans="2:2">
      <c r="B776" s="13"/>
    </row>
    <row r="777" spans="2:2">
      <c r="B777" s="13"/>
    </row>
    <row r="778" spans="2:2">
      <c r="B778" s="13"/>
    </row>
    <row r="779" spans="2:2">
      <c r="B779" s="13"/>
    </row>
    <row r="780" spans="2:2">
      <c r="B780" s="13"/>
    </row>
    <row r="781" spans="2:2">
      <c r="B781" s="13"/>
    </row>
    <row r="782" spans="2:2">
      <c r="B782" s="13"/>
    </row>
    <row r="783" spans="2:2">
      <c r="B783" s="13"/>
    </row>
    <row r="784" spans="2:2">
      <c r="B784" s="13"/>
    </row>
    <row r="785" spans="2:2">
      <c r="B785" s="13"/>
    </row>
    <row r="786" spans="2:2">
      <c r="B786" s="13"/>
    </row>
    <row r="787" spans="2:2">
      <c r="B787" s="13"/>
    </row>
    <row r="788" spans="2:2">
      <c r="B788" s="13"/>
    </row>
    <row r="789" spans="2:2">
      <c r="B789" s="13"/>
    </row>
    <row r="790" spans="2:2">
      <c r="B790" s="13"/>
    </row>
    <row r="791" spans="2:2">
      <c r="B791" s="13"/>
    </row>
    <row r="792" spans="2:2">
      <c r="B792" s="13"/>
    </row>
    <row r="793" spans="2:2">
      <c r="B793" s="13"/>
    </row>
    <row r="794" spans="2:2">
      <c r="B794" s="13"/>
    </row>
    <row r="795" spans="2:2">
      <c r="B795" s="13"/>
    </row>
    <row r="796" spans="2:2">
      <c r="B796" s="13"/>
    </row>
    <row r="797" spans="2:2">
      <c r="B797" s="13"/>
    </row>
    <row r="798" spans="2:2">
      <c r="B798" s="13"/>
    </row>
    <row r="799" spans="2:2">
      <c r="B799" s="13"/>
    </row>
    <row r="800" spans="2:2">
      <c r="B800" s="13"/>
    </row>
    <row r="801" spans="2:2">
      <c r="B801" s="13"/>
    </row>
    <row r="802" spans="2:2">
      <c r="B802" s="13"/>
    </row>
    <row r="803" spans="2:2">
      <c r="B803" s="13"/>
    </row>
    <row r="804" spans="2:2">
      <c r="B804" s="13"/>
    </row>
    <row r="805" spans="2:2">
      <c r="B805" s="13"/>
    </row>
    <row r="806" spans="2:2">
      <c r="B806" s="13"/>
    </row>
    <row r="807" spans="2:2">
      <c r="B807" s="13"/>
    </row>
    <row r="808" spans="2:2">
      <c r="B808" s="13"/>
    </row>
    <row r="809" spans="2:2">
      <c r="B809" s="13"/>
    </row>
    <row r="810" spans="2:2">
      <c r="B810" s="13"/>
    </row>
    <row r="811" spans="2:2">
      <c r="B811" s="13"/>
    </row>
    <row r="812" spans="2:2">
      <c r="B812" s="13"/>
    </row>
    <row r="813" spans="2:2">
      <c r="B813" s="13"/>
    </row>
    <row r="814" spans="2:2">
      <c r="B814" s="13"/>
    </row>
    <row r="815" spans="2:2">
      <c r="B815" s="13"/>
    </row>
    <row r="816" spans="2:2">
      <c r="B816" s="13"/>
    </row>
    <row r="817" spans="2:2">
      <c r="B817" s="13"/>
    </row>
    <row r="818" spans="2:2">
      <c r="B818" s="13"/>
    </row>
    <row r="819" spans="2:2">
      <c r="B819" s="13"/>
    </row>
    <row r="820" spans="2:2">
      <c r="B820" s="13"/>
    </row>
    <row r="821" spans="2:2">
      <c r="B821" s="13"/>
    </row>
    <row r="822" spans="2:2">
      <c r="B822" s="13"/>
    </row>
    <row r="823" spans="2:2">
      <c r="B823" s="13"/>
    </row>
    <row r="824" spans="2:2">
      <c r="B824" s="13"/>
    </row>
    <row r="825" spans="2:2">
      <c r="B825" s="13"/>
    </row>
    <row r="826" spans="2:2">
      <c r="B826" s="13"/>
    </row>
    <row r="827" spans="2:2">
      <c r="B827" s="13"/>
    </row>
    <row r="828" spans="2:2">
      <c r="B828" s="13"/>
    </row>
    <row r="829" spans="2:2">
      <c r="B829" s="13"/>
    </row>
    <row r="830" spans="2:2">
      <c r="B830" s="13"/>
    </row>
    <row r="831" spans="2:2">
      <c r="B831" s="13"/>
    </row>
    <row r="832" spans="2:2">
      <c r="B832" s="13"/>
    </row>
    <row r="833" spans="2:2">
      <c r="B833" s="13"/>
    </row>
    <row r="834" spans="2:2">
      <c r="B834" s="13"/>
    </row>
    <row r="835" spans="2:2">
      <c r="B835" s="13"/>
    </row>
    <row r="836" spans="2:2">
      <c r="B836" s="13"/>
    </row>
    <row r="837" spans="2:2">
      <c r="B837" s="13"/>
    </row>
    <row r="838" spans="2:2">
      <c r="B838" s="13"/>
    </row>
    <row r="839" spans="2:2">
      <c r="B839" s="13"/>
    </row>
    <row r="840" spans="2:2">
      <c r="B840" s="13"/>
    </row>
    <row r="841" spans="2:2">
      <c r="B841" s="13"/>
    </row>
    <row r="842" spans="2:2">
      <c r="B842" s="13"/>
    </row>
    <row r="843" spans="2:2">
      <c r="B843" s="13"/>
    </row>
    <row r="844" spans="2:2">
      <c r="B844" s="13"/>
    </row>
    <row r="845" spans="2:2">
      <c r="B845" s="13"/>
    </row>
    <row r="846" spans="2:2">
      <c r="B846" s="13"/>
    </row>
    <row r="847" spans="2:2">
      <c r="B847" s="13"/>
    </row>
    <row r="848" spans="2:2">
      <c r="B848" s="13"/>
    </row>
    <row r="849" spans="2:2">
      <c r="B849" s="13"/>
    </row>
    <row r="850" spans="2:2">
      <c r="B850" s="13"/>
    </row>
    <row r="851" spans="2:2">
      <c r="B851" s="13"/>
    </row>
    <row r="852" spans="2:2">
      <c r="B852" s="13"/>
    </row>
    <row r="853" spans="2:2">
      <c r="B853" s="13"/>
    </row>
    <row r="854" spans="2:2">
      <c r="B854" s="13"/>
    </row>
    <row r="855" spans="2:2">
      <c r="B855" s="13"/>
    </row>
    <row r="856" spans="2:2">
      <c r="B856" s="13"/>
    </row>
    <row r="857" spans="2:2">
      <c r="B857" s="13"/>
    </row>
    <row r="858" spans="2:2">
      <c r="B858" s="13"/>
    </row>
    <row r="859" spans="2:2">
      <c r="B859" s="13"/>
    </row>
    <row r="860" spans="2:2">
      <c r="B860" s="13"/>
    </row>
    <row r="861" spans="2:2">
      <c r="B861" s="13"/>
    </row>
    <row r="862" spans="2:2">
      <c r="B862" s="13"/>
    </row>
    <row r="863" spans="2:2">
      <c r="B863" s="13"/>
    </row>
    <row r="864" spans="2:2">
      <c r="B864" s="13"/>
    </row>
    <row r="865" spans="2:2">
      <c r="B865" s="13"/>
    </row>
    <row r="866" spans="2:2">
      <c r="B866" s="13"/>
    </row>
    <row r="867" spans="2:2">
      <c r="B867" s="13"/>
    </row>
    <row r="868" spans="2:2">
      <c r="B868" s="13"/>
    </row>
    <row r="869" spans="2:2">
      <c r="B869" s="13"/>
    </row>
    <row r="870" spans="2:2">
      <c r="B870" s="13"/>
    </row>
    <row r="871" spans="2:2">
      <c r="B871" s="13"/>
    </row>
    <row r="872" spans="2:2">
      <c r="B872" s="13"/>
    </row>
    <row r="873" spans="2:2">
      <c r="B873" s="13"/>
    </row>
    <row r="874" spans="2:2">
      <c r="B874" s="13"/>
    </row>
    <row r="875" spans="2:2">
      <c r="B875" s="13"/>
    </row>
    <row r="876" spans="2:2">
      <c r="B876" s="13"/>
    </row>
    <row r="877" spans="2:2">
      <c r="B877" s="13"/>
    </row>
    <row r="878" spans="2:2">
      <c r="B878" s="13"/>
    </row>
    <row r="879" spans="2:2">
      <c r="B879" s="13"/>
    </row>
    <row r="880" spans="2:2">
      <c r="B880" s="13"/>
    </row>
    <row r="881" spans="2:2">
      <c r="B881" s="13"/>
    </row>
    <row r="882" spans="2:2">
      <c r="B882" s="13"/>
    </row>
    <row r="883" spans="2:2">
      <c r="B883" s="13"/>
    </row>
    <row r="884" spans="2:2">
      <c r="B884" s="13"/>
    </row>
    <row r="885" spans="2:2">
      <c r="B885" s="13"/>
    </row>
    <row r="886" spans="2:2">
      <c r="B886" s="13"/>
    </row>
    <row r="887" spans="2:2">
      <c r="B887" s="13"/>
    </row>
    <row r="888" spans="2:2">
      <c r="B888" s="13"/>
    </row>
    <row r="889" spans="2:2">
      <c r="B889" s="13"/>
    </row>
    <row r="890" spans="2:2">
      <c r="B890" s="13"/>
    </row>
    <row r="891" spans="2:2">
      <c r="B891" s="13"/>
    </row>
    <row r="892" spans="2:2">
      <c r="B892" s="13"/>
    </row>
    <row r="893" spans="2:2">
      <c r="B893" s="13"/>
    </row>
    <row r="894" spans="2:2">
      <c r="B894" s="13"/>
    </row>
    <row r="895" spans="2:2">
      <c r="B895" s="13"/>
    </row>
    <row r="896" spans="2:2">
      <c r="B896" s="13"/>
    </row>
    <row r="897" spans="2:2">
      <c r="B897" s="13"/>
    </row>
    <row r="898" spans="2:2">
      <c r="B898" s="13"/>
    </row>
    <row r="899" spans="2:2">
      <c r="B899" s="13"/>
    </row>
    <row r="900" spans="2:2">
      <c r="B900" s="13"/>
    </row>
    <row r="901" spans="2:2">
      <c r="B901" s="13"/>
    </row>
    <row r="902" spans="2:2">
      <c r="B902" s="13"/>
    </row>
    <row r="903" spans="2:2">
      <c r="B903" s="13"/>
    </row>
    <row r="904" spans="2:2">
      <c r="B904" s="13"/>
    </row>
    <row r="905" spans="2:2">
      <c r="B905" s="13"/>
    </row>
    <row r="906" spans="2:2">
      <c r="B906" s="13"/>
    </row>
    <row r="907" spans="2:2">
      <c r="B907" s="13"/>
    </row>
    <row r="908" spans="2:2">
      <c r="B908" s="13"/>
    </row>
    <row r="909" spans="2:2">
      <c r="B909" s="13"/>
    </row>
    <row r="910" spans="2:2">
      <c r="B910" s="13"/>
    </row>
    <row r="911" spans="2:2">
      <c r="B911" s="13"/>
    </row>
    <row r="912" spans="2:2">
      <c r="B912" s="13"/>
    </row>
    <row r="913" spans="2:2">
      <c r="B913" s="13"/>
    </row>
    <row r="914" spans="2:2">
      <c r="B914" s="13"/>
    </row>
    <row r="915" spans="2:2">
      <c r="B915" s="13"/>
    </row>
    <row r="916" spans="2:2">
      <c r="B916" s="13"/>
    </row>
    <row r="917" spans="2:2">
      <c r="B917" s="13"/>
    </row>
    <row r="918" spans="2:2">
      <c r="B918" s="13"/>
    </row>
    <row r="919" spans="2:2">
      <c r="B919" s="13"/>
    </row>
    <row r="920" spans="2:2">
      <c r="B920" s="13"/>
    </row>
    <row r="921" spans="2:2">
      <c r="B921" s="13"/>
    </row>
    <row r="922" spans="2:2">
      <c r="B922" s="13"/>
    </row>
    <row r="923" spans="2:2">
      <c r="B923" s="13"/>
    </row>
    <row r="924" spans="2:2">
      <c r="B924" s="13"/>
    </row>
    <row r="925" spans="2:2">
      <c r="B925" s="13"/>
    </row>
    <row r="926" spans="2:2">
      <c r="B926" s="13"/>
    </row>
    <row r="927" spans="2:2">
      <c r="B927" s="13"/>
    </row>
    <row r="928" spans="2:2">
      <c r="B928" s="13"/>
    </row>
    <row r="929" spans="2:2">
      <c r="B929" s="13"/>
    </row>
    <row r="930" spans="2:2">
      <c r="B930" s="13"/>
    </row>
    <row r="931" spans="2:2">
      <c r="B931" s="13"/>
    </row>
    <row r="932" spans="2:2">
      <c r="B932" s="13"/>
    </row>
    <row r="933" spans="2:2">
      <c r="B933" s="13"/>
    </row>
    <row r="934" spans="2:2">
      <c r="B934" s="13"/>
    </row>
    <row r="935" spans="2:2">
      <c r="B935" s="13"/>
    </row>
    <row r="936" spans="2:2">
      <c r="B936" s="13"/>
    </row>
    <row r="937" spans="2:2">
      <c r="B937" s="13"/>
    </row>
    <row r="938" spans="2:2">
      <c r="B938" s="13"/>
    </row>
    <row r="939" spans="2:2">
      <c r="B939" s="13"/>
    </row>
    <row r="940" spans="2:2">
      <c r="B940" s="13"/>
    </row>
    <row r="941" spans="2:2">
      <c r="B941" s="13"/>
    </row>
    <row r="942" spans="2:2">
      <c r="B942" s="13"/>
    </row>
    <row r="943" spans="2:2">
      <c r="B943" s="13"/>
    </row>
    <row r="944" spans="2:2">
      <c r="B944" s="13"/>
    </row>
    <row r="945" spans="2:2">
      <c r="B945" s="13"/>
    </row>
    <row r="946" spans="2:2">
      <c r="B946" s="13"/>
    </row>
    <row r="947" spans="2:2">
      <c r="B947" s="13"/>
    </row>
    <row r="948" spans="2:2">
      <c r="B948" s="13"/>
    </row>
    <row r="949" spans="2:2">
      <c r="B949" s="13"/>
    </row>
    <row r="950" spans="2:2">
      <c r="B950" s="13"/>
    </row>
    <row r="951" spans="2:2">
      <c r="B951" s="13"/>
    </row>
    <row r="952" spans="2:2">
      <c r="B952" s="13"/>
    </row>
    <row r="953" spans="2:2">
      <c r="B953" s="13"/>
    </row>
    <row r="954" spans="2:2">
      <c r="B954" s="13"/>
    </row>
    <row r="955" spans="2:2">
      <c r="B955" s="13"/>
    </row>
    <row r="956" spans="2:2">
      <c r="B956" s="13"/>
    </row>
    <row r="957" spans="2:2">
      <c r="B957" s="13"/>
    </row>
    <row r="958" spans="2:2">
      <c r="B958" s="13"/>
    </row>
    <row r="959" spans="2:2">
      <c r="B959" s="13"/>
    </row>
    <row r="960" spans="2:2">
      <c r="B960" s="13"/>
    </row>
    <row r="961" spans="2:2">
      <c r="B961" s="13"/>
    </row>
    <row r="962" spans="2:2">
      <c r="B962" s="13"/>
    </row>
    <row r="963" spans="2:2">
      <c r="B963" s="13"/>
    </row>
    <row r="964" spans="2:2">
      <c r="B964" s="13"/>
    </row>
    <row r="965" spans="2:2">
      <c r="B965" s="13"/>
    </row>
    <row r="966" spans="2:2">
      <c r="B966" s="13"/>
    </row>
    <row r="967" spans="2:2">
      <c r="B967" s="13"/>
    </row>
    <row r="968" spans="2:2">
      <c r="B968" s="13"/>
    </row>
    <row r="969" spans="2:2">
      <c r="B969" s="13"/>
    </row>
    <row r="970" spans="2:2">
      <c r="B970" s="13"/>
    </row>
    <row r="971" spans="2:2">
      <c r="B971" s="13"/>
    </row>
    <row r="972" spans="2:2">
      <c r="B972" s="13"/>
    </row>
    <row r="973" spans="2:2">
      <c r="B973" s="13"/>
    </row>
    <row r="974" spans="2:2">
      <c r="B974" s="13"/>
    </row>
    <row r="975" spans="2:2">
      <c r="B975" s="13"/>
    </row>
    <row r="976" spans="2:2">
      <c r="B976" s="13"/>
    </row>
    <row r="977" spans="2:2">
      <c r="B977" s="13"/>
    </row>
    <row r="978" spans="2:2">
      <c r="B978" s="13"/>
    </row>
    <row r="979" spans="2:2">
      <c r="B979" s="13"/>
    </row>
    <row r="980" spans="2:2">
      <c r="B980" s="13"/>
    </row>
    <row r="981" spans="2:2">
      <c r="B981" s="13"/>
    </row>
    <row r="982" spans="2:2">
      <c r="B982" s="13"/>
    </row>
    <row r="983" spans="2:2">
      <c r="B983" s="13"/>
    </row>
    <row r="984" spans="2:2">
      <c r="B984" s="13"/>
    </row>
    <row r="985" spans="2:2">
      <c r="B985" s="13"/>
    </row>
    <row r="986" spans="2:2">
      <c r="B986" s="13"/>
    </row>
    <row r="987" spans="2:2">
      <c r="B987" s="13"/>
    </row>
    <row r="988" spans="2:2">
      <c r="B988" s="13"/>
    </row>
    <row r="989" spans="2:2">
      <c r="B989" s="13"/>
    </row>
    <row r="990" spans="2:2">
      <c r="B990" s="13"/>
    </row>
    <row r="991" spans="2:2">
      <c r="B991" s="13"/>
    </row>
    <row r="992" spans="2:2">
      <c r="B992" s="13"/>
    </row>
    <row r="993" spans="2:2">
      <c r="B993" s="13"/>
    </row>
    <row r="994" spans="2:2">
      <c r="B994" s="13"/>
    </row>
    <row r="995" spans="2:2">
      <c r="B995" s="13"/>
    </row>
    <row r="996" spans="2:2">
      <c r="B996" s="13"/>
    </row>
    <row r="997" spans="2:2">
      <c r="B997" s="13"/>
    </row>
    <row r="998" spans="2:2">
      <c r="B998" s="13"/>
    </row>
    <row r="999" spans="2:2">
      <c r="B999" s="13"/>
    </row>
    <row r="1000" spans="2:2">
      <c r="B1000" s="1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Brauberg_Paper_and_other</vt:lpstr>
      <vt:lpstr>Brauberg_pens_and_other</vt:lpstr>
      <vt:lpstr>Brauberg_screbki_and_other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Falck_R Romaro</cp:lastModifiedBy>
  <cp:revision>1</cp:revision>
  <dcterms:modified xsi:type="dcterms:W3CDTF">2023-03-30T10:33:23Z</dcterms:modified>
  <dc:language>en-US</dc:language>
</cp:coreProperties>
</file>