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ustrof_Paper_and_other" sheetId="1" state="visible" r:id="rId2"/>
    <sheet name="Lustrof_pens_and_other" sheetId="2" state="visible" r:id="rId3"/>
    <sheet name="Lustrof_screbki_and_oth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<sst xmlns="http://schemas.openxmlformats.org/spreadsheetml/2006/main" count="15" uniqueCount="5">
  <si>
    <t xml:space="preserve">ID_Items</t>
  </si>
  <si>
    <t xml:space="preserve">Type_Product</t>
  </si>
  <si>
    <t xml:space="preserve">Price</t>
  </si>
  <si>
    <t xml:space="preserve">Number_Product</t>
  </si>
  <si>
    <t xml:space="preserve">Link_On_Product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</si>
</sst>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imbus Roman"/>
      <family val="0"/>
      <charset val="1"/>
    </font>
    <font>
      <sz val="11"/>
      <color rgb="FFB31412"/>
      <name val="&quot;Roboto Mono&quot;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314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0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C4" activeCellId="0" sqref="C4"/>
    </sheetView>
  </sheetViews>
  <sheetFormatPr defaultColWidth="12.640625" defaultRowHeight="15.75" zeroHeight="false" outlineLevelRow="0" outlineLevelCol="0"/>
  <cols>
    <col collapsed="false" customWidth="true" hidden="false" outlineLevel="0" max="5" min="1" style="1" width="30.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</row>
    <row r="2" customFormat="false" ht="23.85" hidden="false" customHeight="false" outlineLevel="0" collapsed="false">
      <c r="A2" s="5" t="n">
        <f aca="false">IFERROR(__xludf.dummyfunction("IMPORTXML(getIdItems(""https://www.lustrof.ru/category/ofis/kanctovary/bumaga/ehtiketki-i-cenniki/?page="",1),""//span[@class='products__item-info-code-v']"")"),211500)</f>
        <v>211500</v>
      </c>
      <c r="B2" s="6" t="str">
        <f aca="false">IFERROR(__xludf.dummyfunction("IMPORTXML(getIdItems(""https://www.lustrof.ru/category/ofis/kanctovary/bumaga/ehtiketki-i-cenniki/?page="",1),""//span[@class='products__item-info-name']"")"),"Красящие ролики для этикет-пистолетов (290439)")</f>
        <v>Красящие ролики для этикет-пистолетов (290439)</v>
      </c>
      <c r="C2" s="5" t="str">
        <f aca="false">IFERROR(__xludf.dummyfunction("IMPORTXML(getIdItems(""https://www.lustrof.ru/category/ofis/kanctovary/bumaga/ehtiketki-i-cenniki/?page="",1),""//span[@class='products__available-in-stock']"")"),"В наличии 2189")</f>
        <v>В наличии 2189</v>
      </c>
      <c r="D2" s="5" t="n">
        <f aca="false">IFERROR(__xludf.dummyfunction("IMPORTXML(getIdItems(""https://www.lustrof.ru/category/ofis/kanctovary/bumaga/ehtiketki-i-cenniki/?page="",1),""//span[@class='products__price-new']/text()"")"),595)</f>
        <v>595</v>
      </c>
      <c r="E2" s="7" t="str">
        <f aca="false">IFERROR(__xludf.dummyfunction("IMPORTXML(getIdItems(""https://www.lustrof.ru/category/ofis/kanctovary/bumaga/ehtiketki-i-cenniki/?page="",1),""//div[@class='products__item']/a/@href"")"),"/krasyashie-roliki-dlya-tiket-pistoletov-290439-/")</f>
        <v>/krasyashie-roliki-dlya-tiket-pistoletov-290439-/</v>
      </c>
    </row>
    <row r="3" customFormat="false" ht="23.85" hidden="false" customHeight="false" outlineLevel="0" collapsed="false">
      <c r="A3" s="8" t="n">
        <f aca="false">IFERROR(__xludf.dummyfunction("""COMPUTED_VALUE"""),211501)</f>
        <v>211501</v>
      </c>
      <c r="B3" s="9" t="str">
        <f aca="false">IFERROR(__xludf.dummyfunction("""COMPUTED_VALUE"""),"Красящие ролики для этикет-пистолетов (290440)")</f>
        <v>Красящие ролики для этикет-пистолетов (290440)</v>
      </c>
      <c r="C3" s="5" t="str">
        <f aca="false">IFERROR(__xludf.dummyfunction("""COMPUTED_VALUE"""),"В наличии 1237")</f>
        <v>В наличии 1237</v>
      </c>
      <c r="D3" s="5" t="n">
        <f aca="false">IFERROR(__xludf.dummyfunction("""COMPUTED_VALUE"""),599)</f>
        <v>599</v>
      </c>
      <c r="E3" s="7" t="str">
        <f aca="false">IFERROR(__xludf.dummyfunction("""COMPUTED_VALUE"""),"/krasyashie-roliki-dlya-tiket-pistoletov-290440-/")</f>
        <v>/krasyashie-roliki-dlya-tiket-pistoletov-290440-/</v>
      </c>
    </row>
    <row r="4" customFormat="false" ht="68.65" hidden="false" customHeight="false" outlineLevel="0" collapsed="false">
      <c r="A4" s="5" t="n">
        <f aca="false">IFERROR(__xludf.dummyfunction("""COMPUTED_VALUE"""),503603)</f>
        <v>503603</v>
      </c>
      <c r="B4" s="9" t="str">
        <f aca="false">IFERROR(__xludf.dummyfunction("""COMPUTED_VALUE"""),"Набор из 10 шт, Этикетка термотрансферная ПОЛУГЛЯНЕЦ (43х25 мм), 1000 
этикеток в ролике, 52199 (111972)")</f>
        <v>Набор из 10 шт, Этикетка термотрансферная ПОЛУГЛЯНЕЦ (43х25 мм), 1000 
этикеток в ролике, 52199 (111972)</v>
      </c>
      <c r="C4" s="5" t="str">
        <f aca="false">IFERROR(__xludf.dummyfunction("""COMPUTED_VALUE"""),"В наличии 6")</f>
        <v>В наличии 6</v>
      </c>
      <c r="D4" s="5" t="n">
        <f aca="false">IFERROR(__xludf.dummyfunction("""COMPUTED_VALUE"""),1500)</f>
        <v>1500</v>
      </c>
      <c r="E4" s="7" t="str">
        <f aca="false">IFERROR(__xludf.dummyfunction("""COMPUTED_VALUE"""),"/nabor-iz-10-sht-tiketka-termotransfernaya-poluglyanec-43h25-mm-1000-tiketok-v-rolike-52199-111972-/")</f>
        <v>/nabor-iz-10-sht-tiketka-termotransfernaya-poluglyanec-43h25-mm-1000-tiketok-v-rolike-52199-111972-/</v>
      </c>
    </row>
    <row r="5" customFormat="false" ht="57.45" hidden="false" customHeight="false" outlineLevel="0" collapsed="false">
      <c r="A5" s="5" t="n">
        <f aca="false">IFERROR(__xludf.dummyfunction("""COMPUTED_VALUE"""),503611)</f>
        <v>503611</v>
      </c>
      <c r="B5" s="9" t="str">
        <f aca="false">IFERROR(__xludf.dummyfunction("""COMPUTED_VALUE"""),"Набор из 2 шт, Риббон WAX, 60 мм х 300 м, диаметр втулки 25,4 мм (1 дюйм), 
красящий слой наружу (OUT), 363526 (363526)")</f>
        <v>Набор из 2 шт, Риббон WAX, 60 мм х 300 м, диаметр втулки 25,4 мм (1 дюйм), 
красящий слой наружу (OUT), 363526 (363526)</v>
      </c>
      <c r="C5" s="5" t="str">
        <f aca="false">IFERROR(__xludf.dummyfunction("""COMPUTED_VALUE"""),"В наличии 428")</f>
        <v>В наличии 428</v>
      </c>
      <c r="D5" s="5" t="n">
        <f aca="false">IFERROR(__xludf.dummyfunction("""COMPUTED_VALUE"""),478)</f>
        <v>478</v>
      </c>
      <c r="E5" s="7" t="str">
        <f aca="false">IFERROR(__xludf.dummyfunction("""COMPUTED_VALUE"""),"/nabor-iz-2-sht-ribbon-wax-60-mm-h-300-m-diametr-vtulki-25-4-mm-1-dyujm-krasyashij-sloj-naruzhu-out-363526-363526-/")</f>
        <v>/nabor-iz-2-sht-ribbon-wax-60-mm-h-300-m-diametr-vtulki-25-4-mm-1-dyujm-krasyashij-sloj-naruzhu-out-363526-363526-/</v>
      </c>
    </row>
    <row r="6" customFormat="false" ht="57.45" hidden="false" customHeight="false" outlineLevel="0" collapsed="false">
      <c r="A6" s="5" t="n">
        <f aca="false">IFERROR(__xludf.dummyfunction("""COMPUTED_VALUE"""),504476)</f>
        <v>504476</v>
      </c>
      <c r="B6" s="9" t="str">
        <f aca="false">IFERROR(__xludf.dummyfunction("""COMPUTED_VALUE"""),"Набор из 2 шт, Ценник большой ""Цена"" 50х40 мм белый, самоклеящийся, 
КОМПЛЕКТ 5 рулонов по 200 шт., BRAUBERG, 112357")</f>
        <v>Набор из 2 шт, Ценник большой "Цена" 50х40 мм белый, самоклеящийся, 
КОМПЛЕКТ 5 рулонов по 200 шт., BRAUBERG, 112357</v>
      </c>
      <c r="C6" s="5" t="str">
        <f aca="false">IFERROR(__xludf.dummyfunction("""COMPUTED_VALUE"""),"В наличии 1213")</f>
        <v>В наличии 1213</v>
      </c>
      <c r="D6" s="5" t="n">
        <f aca="false">IFERROR(__xludf.dummyfunction("""COMPUTED_VALUE"""),434)</f>
        <v>434</v>
      </c>
      <c r="E6" s="7" t="str">
        <f aca="false">IFERROR(__xludf.dummyfunction("""COMPUTED_VALUE"""),"/nabor-iz-2-sht-cennik-bolshoj-cena-50h40-mm-belyj-samokleyashijsya-komplekt-5-rulonov-po-200-sht-brauberg-112357/")</f>
        <v>/nabor-iz-2-sht-cennik-bolshoj-cena-50h40-mm-belyj-samokleyashijsya-komplekt-5-rulonov-po-200-sht-brauberg-112357/</v>
      </c>
    </row>
    <row r="7" customFormat="false" ht="57.45" hidden="false" customHeight="false" outlineLevel="0" collapsed="false">
      <c r="A7" s="5" t="n">
        <f aca="false">IFERROR(__xludf.dummyfunction("""COMPUTED_VALUE"""),504477)</f>
        <v>504477</v>
      </c>
      <c r="B7" s="9" t="str">
        <f aca="false">IFERROR(__xludf.dummyfunction("""COMPUTED_VALUE"""),"Набор из 2 шт, Ценник большой ""Цена"" 50х40 мм желтый, самоклеящийся, 
КОМПЛЕКТ 5 рулонов по 200 шт., BRAUBERG, 112358")</f>
        <v>Набор из 2 шт, Ценник большой "Цена" 50х40 мм желтый, самоклеящийся, 
КОМПЛЕКТ 5 рулонов по 200 шт., BRAUBERG, 112358</v>
      </c>
      <c r="C7" s="5" t="str">
        <f aca="false">IFERROR(__xludf.dummyfunction("""COMPUTED_VALUE"""),"В наличии 2472")</f>
        <v>В наличии 2472</v>
      </c>
      <c r="D7" s="5" t="n">
        <f aca="false">IFERROR(__xludf.dummyfunction("""COMPUTED_VALUE"""),700)</f>
        <v>700</v>
      </c>
      <c r="E7" s="7" t="str">
        <f aca="false">IFERROR(__xludf.dummyfunction("""COMPUTED_VALUE"""),"/nabor-iz-2-sht-cennik-bolshoj-cena-50h40-mm-zheltyj-samokleyashijsya-komplekt-5-rulonov-po-200-sht-brauberg-112358/")</f>
        <v>/nabor-iz-2-sht-cennik-bolshoj-cena-50h40-mm-zheltyj-samokleyashijsya-komplekt-5-rulonov-po-200-sht-brauberg-112358/</v>
      </c>
    </row>
    <row r="8" customFormat="false" ht="57.45" hidden="false" customHeight="false" outlineLevel="0" collapsed="false">
      <c r="A8" s="5" t="n">
        <f aca="false">IFERROR(__xludf.dummyfunction("""COMPUTED_VALUE"""),504478)</f>
        <v>504478</v>
      </c>
      <c r="B8" s="9" t="str">
        <f aca="false">IFERROR(__xludf.dummyfunction("""COMPUTED_VALUE"""),"Набор из 2 шт, Ценник большой ""Цена"" 50х40 мм зеленый, самоклеящийся, 
КОМПЛЕКТ 5 рулонов по 200 шт., BRAUBERG, 112359")</f>
        <v>Набор из 2 шт, Ценник большой "Цена" 50х40 мм зеленый, самоклеящийся, 
КОМПЛЕКТ 5 рулонов по 200 шт., BRAUBERG, 112359</v>
      </c>
      <c r="C8" s="5" t="str">
        <f aca="false">IFERROR(__xludf.dummyfunction("""COMPUTED_VALUE"""),"В наличии 1938")</f>
        <v>В наличии 1938</v>
      </c>
      <c r="D8" s="5" t="n">
        <f aca="false">IFERROR(__xludf.dummyfunction("""COMPUTED_VALUE"""),700)</f>
        <v>700</v>
      </c>
      <c r="E8" s="7" t="str">
        <f aca="false">IFERROR(__xludf.dummyfunction("""COMPUTED_VALUE"""),"/nabor-iz-2-sht-cennik-bolshoj-cena-50h40-mm-zelenyj-samokleyashijsya-komplekt-5-rulonov-po-200-sht-brauberg-112359/")</f>
        <v>/nabor-iz-2-sht-cennik-bolshoj-cena-50h40-mm-zelenyj-samokleyashijsya-komplekt-5-rulonov-po-200-sht-brauberg-112359/</v>
      </c>
    </row>
    <row r="9" customFormat="false" ht="57.45" hidden="false" customHeight="false" outlineLevel="0" collapsed="false">
      <c r="A9" s="5" t="n">
        <f aca="false">IFERROR(__xludf.dummyfunction("""COMPUTED_VALUE"""),504479)</f>
        <v>504479</v>
      </c>
      <c r="B9" s="9" t="str">
        <f aca="false">IFERROR(__xludf.dummyfunction("""COMPUTED_VALUE"""),"Набор из 2 шт, Ценник большой ""Цена"" 50х40 мм оранжевый самоклеящийся, 
КОМПЛЕКТ 5 рулонов по 200 шт., BRAUBERG, 112360")</f>
        <v>Набор из 2 шт, Ценник большой "Цена" 50х40 мм оранжевый самоклеящийся, 
КОМПЛЕКТ 5 рулонов по 200 шт., BRAUBERG, 112360</v>
      </c>
      <c r="C9" s="5" t="str">
        <f aca="false">IFERROR(__xludf.dummyfunction("""COMPUTED_VALUE"""),"В наличии 1543")</f>
        <v>В наличии 1543</v>
      </c>
      <c r="D9" s="5" t="n">
        <f aca="false">IFERROR(__xludf.dummyfunction("""COMPUTED_VALUE"""),582)</f>
        <v>582</v>
      </c>
      <c r="E9" s="7" t="str">
        <f aca="false">IFERROR(__xludf.dummyfunction("""COMPUTED_VALUE"""),"/nabor-iz-2-sht-cennik-bolshoj-cena-50h40-mm-oranzhevyj-samokleyashijsya-komplekt-5-rulonov-po-200-sht-brauberg-112360/")</f>
        <v>/nabor-iz-2-sht-cennik-bolshoj-cena-50h40-mm-oranzhevyj-samokleyashijsya-komplekt-5-rulonov-po-200-sht-brauberg-112360/</v>
      </c>
    </row>
    <row r="10" customFormat="false" ht="23.85" hidden="false" customHeight="false" outlineLevel="0" collapsed="false">
      <c r="A10" s="5" t="n">
        <f aca="false">IFERROR(__xludf.dummyfunction("""COMPUTED_VALUE"""),497736)</f>
        <v>497736</v>
      </c>
      <c r="B10" s="9" t="str">
        <f aca="false">IFERROR(__xludf.dummyfunction("""COMPUTED_VALUE"""),"Набор из 2 шт, Этикет-лента 26х12 мм (123577)")</f>
        <v>Набор из 2 шт, Этикет-лента 26х12 мм (123577)</v>
      </c>
      <c r="C10" s="5" t="str">
        <f aca="false">IFERROR(__xludf.dummyfunction("""COMPUTED_VALUE"""),"В наличии 641")</f>
        <v>В наличии 641</v>
      </c>
      <c r="D10" s="5" t="n">
        <f aca="false">IFERROR(__xludf.dummyfunction("""COMPUTED_VALUE"""),444)</f>
        <v>444</v>
      </c>
      <c r="E10" s="7" t="str">
        <f aca="false">IFERROR(__xludf.dummyfunction("""COMPUTED_VALUE"""),"/nabor-iz-2-sht-tiket-lenta-26h12-mm-123577-/")</f>
        <v>/nabor-iz-2-sht-tiket-lenta-26h12-mm-123577-/</v>
      </c>
    </row>
    <row r="11" customFormat="false" ht="23.85" hidden="false" customHeight="false" outlineLevel="0" collapsed="false">
      <c r="A11" s="5" t="n">
        <f aca="false">IFERROR(__xludf.dummyfunction("""COMPUTED_VALUE"""),497740)</f>
        <v>497740</v>
      </c>
      <c r="B11" s="9" t="str">
        <f aca="false">IFERROR(__xludf.dummyfunction("""COMPUTED_VALUE"""),"Набор из 2 шт, Этикет-лента 26х12 мм (123578)")</f>
        <v>Набор из 2 шт, Этикет-лента 26х12 мм (123578)</v>
      </c>
      <c r="C11" s="5" t="str">
        <f aca="false">IFERROR(__xludf.dummyfunction("""COMPUTED_VALUE"""),"В наличии 233")</f>
        <v>В наличии 233</v>
      </c>
      <c r="D11" s="5" t="n">
        <f aca="false">IFERROR(__xludf.dummyfunction("""COMPUTED_VALUE"""),444)</f>
        <v>444</v>
      </c>
      <c r="E11" s="7" t="str">
        <f aca="false">IFERROR(__xludf.dummyfunction("""COMPUTED_VALUE"""),"/nabor-iz-2-sht-tiket-lenta-26h12-mm-123578-/")</f>
        <v>/nabor-iz-2-sht-tiket-lenta-26h12-mm-123578-/</v>
      </c>
    </row>
    <row r="12" customFormat="false" ht="23.85" hidden="false" customHeight="false" outlineLevel="0" collapsed="false">
      <c r="A12" s="5" t="n">
        <f aca="false">IFERROR(__xludf.dummyfunction("""COMPUTED_VALUE"""),497741)</f>
        <v>497741</v>
      </c>
      <c r="B12" s="9" t="str">
        <f aca="false">IFERROR(__xludf.dummyfunction("""COMPUTED_VALUE"""),"Набор из 2 шт, Этикет-лента 26х12 мм (123579)")</f>
        <v>Набор из 2 шт, Этикет-лента 26х12 мм (123579)</v>
      </c>
      <c r="C12" s="5" t="str">
        <f aca="false">IFERROR(__xludf.dummyfunction("""COMPUTED_VALUE"""),"В наличии 2302")</f>
        <v>В наличии 2302</v>
      </c>
      <c r="D12" s="5" t="n">
        <f aca="false">IFERROR(__xludf.dummyfunction("""COMPUTED_VALUE"""),444)</f>
        <v>444</v>
      </c>
      <c r="E12" s="7" t="str">
        <f aca="false">IFERROR(__xludf.dummyfunction("""COMPUTED_VALUE"""),"/nabor-iz-2-sht-tiket-lenta-26h12-mm-123579-/")</f>
        <v>/nabor-iz-2-sht-tiket-lenta-26h12-mm-123579-/</v>
      </c>
    </row>
    <row r="13" customFormat="false" ht="23.85" hidden="false" customHeight="false" outlineLevel="0" collapsed="false">
      <c r="A13" s="5" t="n">
        <f aca="false">IFERROR(__xludf.dummyfunction("""COMPUTED_VALUE"""),497742)</f>
        <v>497742</v>
      </c>
      <c r="B13" s="9" t="str">
        <f aca="false">IFERROR(__xludf.dummyfunction("""COMPUTED_VALUE"""),"Набор из 2 шт, Этикет-лента 26х16 мм (123580)")</f>
        <v>Набор из 2 шт, Этикет-лента 26х16 мм (123580)</v>
      </c>
      <c r="C13" s="5" t="str">
        <f aca="false">IFERROR(__xludf.dummyfunction("""COMPUTED_VALUE"""),"В наличии 6531")</f>
        <v>В наличии 6531</v>
      </c>
      <c r="D13" s="5" t="n">
        <f aca="false">IFERROR(__xludf.dummyfunction("""COMPUTED_VALUE"""),462)</f>
        <v>462</v>
      </c>
      <c r="E13" s="7" t="str">
        <f aca="false">IFERROR(__xludf.dummyfunction("""COMPUTED_VALUE"""),"/nabor-iz-2-sht-tiket-lenta-26h16-mm-123580-/")</f>
        <v>/nabor-iz-2-sht-tiket-lenta-26h16-mm-123580-/</v>
      </c>
    </row>
    <row r="14" customFormat="false" ht="23.85" hidden="false" customHeight="false" outlineLevel="0" collapsed="false">
      <c r="A14" s="5" t="n">
        <f aca="false">IFERROR(__xludf.dummyfunction("""COMPUTED_VALUE"""),497743)</f>
        <v>497743</v>
      </c>
      <c r="B14" s="9" t="str">
        <f aca="false">IFERROR(__xludf.dummyfunction("""COMPUTED_VALUE"""),"Набор из 2 шт, Этикет-лента 26х16 мм (123581)")</f>
        <v>Набор из 2 шт, Этикет-лента 26х16 мм (123581)</v>
      </c>
      <c r="C14" s="5" t="str">
        <f aca="false">IFERROR(__xludf.dummyfunction("""COMPUTED_VALUE"""),"В наличии 322")</f>
        <v>В наличии 322</v>
      </c>
      <c r="D14" s="5" t="n">
        <f aca="false">IFERROR(__xludf.dummyfunction("""COMPUTED_VALUE"""),562)</f>
        <v>562</v>
      </c>
      <c r="E14" s="7" t="str">
        <f aca="false">IFERROR(__xludf.dummyfunction("""COMPUTED_VALUE"""),"/nabor-iz-2-sht-tiket-lenta-26h16-mm-123581-/")</f>
        <v>/nabor-iz-2-sht-tiket-lenta-26h16-mm-123581-/</v>
      </c>
    </row>
    <row r="15" customFormat="false" ht="23.85" hidden="false" customHeight="false" outlineLevel="0" collapsed="false">
      <c r="A15" s="5" t="n">
        <f aca="false">IFERROR(__xludf.dummyfunction("""COMPUTED_VALUE"""),497744)</f>
        <v>497744</v>
      </c>
      <c r="B15" s="9" t="str">
        <f aca="false">IFERROR(__xludf.dummyfunction("""COMPUTED_VALUE"""),"Набор из 2 шт, Этикет-лента 26х16 мм (123582)")</f>
        <v>Набор из 2 шт, Этикет-лента 26х16 мм (123582)</v>
      </c>
      <c r="C15" s="5" t="str">
        <f aca="false">IFERROR(__xludf.dummyfunction("""COMPUTED_VALUE"""),"В наличии 40")</f>
        <v>В наличии 40</v>
      </c>
      <c r="D15" s="5" t="n">
        <f aca="false">IFERROR(__xludf.dummyfunction("""COMPUTED_VALUE"""),562)</f>
        <v>562</v>
      </c>
      <c r="E15" s="7" t="str">
        <f aca="false">IFERROR(__xludf.dummyfunction("""COMPUTED_VALUE"""),"/nabor-iz-2-sht-tiket-lenta-26h16-mm-123582-/")</f>
        <v>/nabor-iz-2-sht-tiket-lenta-26h16-mm-123582-/</v>
      </c>
    </row>
    <row r="16" customFormat="false" ht="23.85" hidden="false" customHeight="false" outlineLevel="0" collapsed="false">
      <c r="A16" s="5" t="n">
        <f aca="false">IFERROR(__xludf.dummyfunction("""COMPUTED_VALUE"""),497748)</f>
        <v>497748</v>
      </c>
      <c r="B16" s="9" t="str">
        <f aca="false">IFERROR(__xludf.dummyfunction("""COMPUTED_VALUE"""),"Набор из 2 шт, Этикет-лента 26х16 мм (123583)")</f>
        <v>Набор из 2 шт, Этикет-лента 26х16 мм (123583)</v>
      </c>
      <c r="C16" s="5" t="str">
        <f aca="false">IFERROR(__xludf.dummyfunction("""COMPUTED_VALUE"""),"В наличии 484")</f>
        <v>В наличии 484</v>
      </c>
      <c r="D16" s="5" t="n">
        <f aca="false">IFERROR(__xludf.dummyfunction("""COMPUTED_VALUE"""),562)</f>
        <v>562</v>
      </c>
      <c r="E16" s="7" t="str">
        <f aca="false">IFERROR(__xludf.dummyfunction("""COMPUTED_VALUE"""),"/nabor-iz-2-sht-tiket-lenta-26h16-mm-123583-/")</f>
        <v>/nabor-iz-2-sht-tiket-lenta-26h16-mm-123583-/</v>
      </c>
    </row>
    <row r="17" customFormat="false" ht="57.45" hidden="false" customHeight="false" outlineLevel="0" collapsed="false">
      <c r="A17" s="5" t="n">
        <f aca="false">IFERROR(__xludf.dummyfunction("""COMPUTED_VALUE"""),506503)</f>
        <v>506503</v>
      </c>
      <c r="B17" s="9" t="str">
        <f aca="false">IFERROR(__xludf.dummyfunction("""COMPUTED_VALUE"""),"Набор из 2 шт, Этикет-лента 26х16 мм прямоугольная, белая, КОМПЛЕКТ 5 
рулонов по 800 штук., BRAUBERG, 114208")</f>
        <v>Набор из 2 шт, Этикет-лента 26х16 мм прямоугольная, белая, КОМПЛЕКТ 5 
рулонов по 800 штук., BRAUBERG, 114208</v>
      </c>
      <c r="C17" s="5" t="str">
        <f aca="false">IFERROR(__xludf.dummyfunction("""COMPUTED_VALUE"""),"В наличии 266")</f>
        <v>В наличии 266</v>
      </c>
      <c r="D17" s="5" t="n">
        <f aca="false">IFERROR(__xludf.dummyfunction("""COMPUTED_VALUE"""),448)</f>
        <v>448</v>
      </c>
      <c r="E17" s="7" t="str">
        <f aca="false">IFERROR(__xludf.dummyfunction("""COMPUTED_VALUE"""),"/nabor-iz-2-sht-tiket-lenta-26h16-mm-pryamougolnaya-belaya-komplekt-5-rulonov-po-800-shtuk-brauberg-114208/")</f>
        <v>/nabor-iz-2-sht-tiket-lenta-26h16-mm-pryamougolnaya-belaya-komplekt-5-rulonov-po-800-shtuk-brauberg-114208/</v>
      </c>
    </row>
    <row r="18" customFormat="false" ht="57.45" hidden="false" customHeight="false" outlineLevel="0" collapsed="false">
      <c r="A18" s="5" t="n">
        <f aca="false">IFERROR(__xludf.dummyfunction("""COMPUTED_VALUE"""),504774)</f>
        <v>504774</v>
      </c>
      <c r="B18" s="9" t="str">
        <f aca="false">IFERROR(__xludf.dummyfunction("""COMPUTED_VALUE"""),"Набор из 2 шт, Этикетка термотрансферная ПОЛИПРОПИЛЕНОВАЯ (100х150 мм), 250 
этикеток в ролике, 53078")</f>
        <v>Набор из 2 шт, Этикетка термотрансферная ПОЛИПРОПИЛЕНОВАЯ (100х150 мм), 250 
этикеток в ролике, 53078</v>
      </c>
      <c r="C18" s="5" t="str">
        <f aca="false">IFERROR(__xludf.dummyfunction("""COMPUTED_VALUE"""),"В наличии 80")</f>
        <v>В наличии 80</v>
      </c>
      <c r="D18" s="5" t="n">
        <f aca="false">IFERROR(__xludf.dummyfunction("""COMPUTED_VALUE"""),1576)</f>
        <v>1576</v>
      </c>
      <c r="E18" s="7" t="str">
        <f aca="false">IFERROR(__xludf.dummyfunction("""COMPUTED_VALUE"""),"/nabor-iz-2-sht-tiketka-termotransfernaya-polipropilenovaya-100h150-mm-250-tiketok-v-rolike-53078/")</f>
        <v>/nabor-iz-2-sht-tiketka-termotransfernaya-polipropilenovaya-100h150-mm-250-tiketok-v-rolike-53078/</v>
      </c>
    </row>
    <row r="19" customFormat="false" ht="57.45" hidden="false" customHeight="false" outlineLevel="0" collapsed="false">
      <c r="A19" s="5" t="n">
        <f aca="false">IFERROR(__xludf.dummyfunction("""COMPUTED_VALUE"""),504776)</f>
        <v>504776</v>
      </c>
      <c r="B19" s="9" t="str">
        <f aca="false">IFERROR(__xludf.dummyfunction("""COMPUTED_VALUE"""),"Набор из 2 шт, Этикетка термотрансферная ПОЛИПРОПИЛЕНОВАЯ (100х72 мм), 500 
этикеток в ролике, 53082")</f>
        <v>Набор из 2 шт, Этикетка термотрансферная ПОЛИПРОПИЛЕНОВАЯ (100х72 мм), 500 
этикеток в ролике, 53082</v>
      </c>
      <c r="C19" s="5" t="str">
        <f aca="false">IFERROR(__xludf.dummyfunction("""COMPUTED_VALUE"""),"В наличии 51")</f>
        <v>В наличии 51</v>
      </c>
      <c r="D19" s="5" t="n">
        <f aca="false">IFERROR(__xludf.dummyfunction("""COMPUTED_VALUE"""),1650)</f>
        <v>1650</v>
      </c>
      <c r="E19" s="7" t="str">
        <f aca="false">IFERROR(__xludf.dummyfunction("""COMPUTED_VALUE"""),"/nabor-iz-2-sht-tiketka-termotransfernaya-polipropilenovaya-100h72-mm-500-tiketok-v-rolike-53082/")</f>
        <v>/nabor-iz-2-sht-tiketka-termotransfernaya-polipropilenovaya-100h72-mm-500-tiketok-v-rolike-53082/</v>
      </c>
    </row>
    <row r="20" customFormat="false" ht="68.65" hidden="false" customHeight="false" outlineLevel="0" collapsed="false">
      <c r="A20" s="5" t="n">
        <f aca="false">IFERROR(__xludf.dummyfunction("""COMPUTED_VALUE"""),503606)</f>
        <v>503606</v>
      </c>
      <c r="B20" s="9" t="str">
        <f aca="false">IFERROR(__xludf.dummyfunction("""COMPUTED_VALUE"""),"Набор из 2 шт, Этикетка термотрансферная ПОЛУГЛЯНЕЦ (100х150 мм), 250 
этикеток в ролике, 111976 (111976)")</f>
        <v>Набор из 2 шт, Этикетка термотрансферная ПОЛУГЛЯНЕЦ (100х150 мм), 250 
этикеток в ролике, 111976 (111976)</v>
      </c>
      <c r="C20" s="5" t="str">
        <f aca="false">IFERROR(__xludf.dummyfunction("""COMPUTED_VALUE"""),"В наличии 394")</f>
        <v>В наличии 394</v>
      </c>
      <c r="D20" s="5" t="n">
        <f aca="false">IFERROR(__xludf.dummyfunction("""COMPUTED_VALUE"""),1260)</f>
        <v>1260</v>
      </c>
      <c r="E20" s="7" t="str">
        <f aca="false">IFERROR(__xludf.dummyfunction("""COMPUTED_VALUE"""),"/nabor-iz-2-sht-tiketka-termotransfernaya-poluglyanec-100h150-mm-250-tiketok-v-rolike-111976-111976-/")</f>
        <v>/nabor-iz-2-sht-tiketka-termotransfernaya-poluglyanec-100h150-mm-250-tiketok-v-rolike-111976-111976-/</v>
      </c>
    </row>
    <row r="21" customFormat="false" ht="68.65" hidden="false" customHeight="false" outlineLevel="0" collapsed="false">
      <c r="A21" s="5" t="n">
        <f aca="false">IFERROR(__xludf.dummyfunction("""COMPUTED_VALUE"""),507138)</f>
        <v>507138</v>
      </c>
      <c r="B21" s="9" t="str">
        <f aca="false">IFERROR(__xludf.dummyfunction("""COMPUTED_VALUE"""),"Набор из 2 шт, Этикетка ТермоЭко (100х100 мм), 1000 этикеток в ролике, 
прозрачная подложка, светостойкость до 2 месяцев, 114509, 54167 114509")</f>
        <v>Набор из 2 шт, Этикетка ТермоЭко (100х100 мм), 1000 этикеток в ролике, 
прозрачная подложка, светостойкость до 2 месяцев, 114509, 54167 114509</v>
      </c>
      <c r="C21" s="5" t="str">
        <f aca="false">IFERROR(__xludf.dummyfunction("""COMPUTED_VALUE"""),"В наличии 78")</f>
        <v>В наличии 78</v>
      </c>
      <c r="D21" s="5" t="n">
        <f aca="false">IFERROR(__xludf.dummyfunction("""COMPUTED_VALUE"""),3192)</f>
        <v>3192</v>
      </c>
      <c r="E21" s="7" t="str">
        <f aca="false">IFERROR(__xludf.dummyfunction("""COMPUTED_VALUE"""),"/nabor-iz-2-sht-tiketka-termo-ko-100h100-mm-1000-tiketok-v-rolike-prozrachnaya-podlozhka-svetostojkost-do-2-mesyacev-114509-54167-114509/")</f>
        <v>/nabor-iz-2-sht-tiketka-termo-ko-100h100-mm-1000-tiketok-v-rolike-prozrachnaya-podlozhka-svetostojkost-do-2-mesyacev-114509-54167-114509/</v>
      </c>
    </row>
    <row r="22" customFormat="false" ht="57.45" hidden="false" customHeight="false" outlineLevel="0" collapsed="false">
      <c r="A22" s="5" t="n">
        <f aca="false">IFERROR(__xludf.dummyfunction("""COMPUTED_VALUE"""),503568)</f>
        <v>503568</v>
      </c>
      <c r="B22" s="9" t="str">
        <f aca="false">IFERROR(__xludf.dummyfunction("""COMPUTED_VALUE"""),"Набор из 2 шт, Этикетка ТермоЭко (100х100 мм), 1000 этикеток в ролике, 
светостойкость до 2 месяцев, 111964")</f>
        <v>Набор из 2 шт, Этикетка ТермоЭко (100х100 мм), 1000 этикеток в ролике, 
светостойкость до 2 месяцев, 111964</v>
      </c>
      <c r="C22" s="5" t="str">
        <f aca="false">IFERROR(__xludf.dummyfunction("""COMPUTED_VALUE"""),"В наличии 591")</f>
        <v>В наличии 591</v>
      </c>
      <c r="D22" s="5" t="n">
        <f aca="false">IFERROR(__xludf.dummyfunction("""COMPUTED_VALUE"""),3526)</f>
        <v>3526</v>
      </c>
      <c r="E22" s="7" t="str">
        <f aca="false">IFERROR(__xludf.dummyfunction("""COMPUTED_VALUE"""),"/nabor-iz-2-sht-tiketka-termo-ko-100h100-mm-1000-tiketok-v-rolike-svetostojkost-do-2-mesyacev-111964/")</f>
        <v>/nabor-iz-2-sht-tiketka-termo-ko-100h100-mm-1000-tiketok-v-rolike-svetostojkost-do-2-mesyacev-111964/</v>
      </c>
    </row>
    <row r="23" customFormat="false" ht="57.45" hidden="false" customHeight="false" outlineLevel="0" collapsed="false">
      <c r="A23" s="5" t="n">
        <f aca="false">IFERROR(__xludf.dummyfunction("""COMPUTED_VALUE"""),503609)</f>
        <v>503609</v>
      </c>
      <c r="B23" s="9" t="str">
        <f aca="false">IFERROR(__xludf.dummyfunction("""COMPUTED_VALUE"""),"Набор из 3 шт, Риббон WAX, 40 мм х 300 м, диаметр втулки 25,4 мм (1 дюйм), 
красящий слой наружу OUT, 363524 (363524)")</f>
        <v>Набор из 3 шт, Риббон WAX, 40 мм х 300 м, диаметр втулки 25,4 мм (1 дюйм), 
красящий слой наружу OUT, 363524 (363524)</v>
      </c>
      <c r="C23" s="5" t="str">
        <f aca="false">IFERROR(__xludf.dummyfunction("""COMPUTED_VALUE"""),"В наличии 101")</f>
        <v>В наличии 101</v>
      </c>
      <c r="D23" s="5" t="n">
        <f aca="false">IFERROR(__xludf.dummyfunction("""COMPUTED_VALUE"""),477)</f>
        <v>477</v>
      </c>
      <c r="E23" s="7" t="str">
        <f aca="false">IFERROR(__xludf.dummyfunction("""COMPUTED_VALUE"""),"/nabor-iz-3-sht-ribbon-wax-40-mm-h-300-m-diametr-vtulki-25-4-mm-1-dyujm-krasyashij-sloj-naruzhu-out-363524-363524-/")</f>
        <v>/nabor-iz-3-sht-ribbon-wax-40-mm-h-300-m-diametr-vtulki-25-4-mm-1-dyujm-krasyashij-sloj-naruzhu-out-363524-363524-/</v>
      </c>
    </row>
    <row r="24" customFormat="false" ht="68.65" hidden="false" customHeight="false" outlineLevel="0" collapsed="false">
      <c r="A24" s="5" t="n">
        <f aca="false">IFERROR(__xludf.dummyfunction("""COMPUTED_VALUE"""),503613)</f>
        <v>503613</v>
      </c>
      <c r="B24" s="9" t="str">
        <f aca="false">IFERROR(__xludf.dummyfunction("""COMPUTED_VALUE"""),"Набор из 3 шт, Риббон WAX/RESIN, 57 мм х 74 м, втулка диаметр 12,7 мм (0,5 
дюйма) х ширина 57 мм, красящий слой наружу (OUT), 363531 (363531)")</f>
        <v>Набор из 3 шт, Риббон WAX/RESIN, 57 мм х 74 м, втулка диаметр 12,7 мм (0,5 
дюйма) х ширина 57 мм, красящий слой наружу (OUT), 363531 (363531)</v>
      </c>
      <c r="C24" s="5" t="str">
        <f aca="false">IFERROR(__xludf.dummyfunction("""COMPUTED_VALUE"""),"В наличии 142")</f>
        <v>В наличии 142</v>
      </c>
      <c r="D24" s="5" t="n">
        <f aca="false">IFERROR(__xludf.dummyfunction("""COMPUTED_VALUE"""),414)</f>
        <v>414</v>
      </c>
      <c r="E24" s="7" t="str">
        <f aca="false">IFERROR(__xludf.dummyfunction("""COMPUTED_VALUE"""),"/nabor-iz-3-sht-ribbon-wax-resin-57-mm-h-74-m-vtulka-diametr-12-7-mm-0-5-dyujma-h-shirina-57-mm-krasyashij-sloj-naruzhu-out-363531-363531-/")</f>
        <v>/nabor-iz-3-sht-ribbon-wax-resin-57-mm-h-74-m-vtulka-diametr-12-7-mm-0-5-dyujma-h-shirina-57-mm-krasyashij-sloj-naruzhu-out-363531-363531-/</v>
      </c>
    </row>
    <row r="25" customFormat="false" ht="57.45" hidden="false" customHeight="false" outlineLevel="0" collapsed="false">
      <c r="A25" s="5" t="n">
        <f aca="false">IFERROR(__xludf.dummyfunction("""COMPUTED_VALUE"""),504480)</f>
        <v>504480</v>
      </c>
      <c r="B25" s="9" t="str">
        <f aca="false">IFERROR(__xludf.dummyfunction("""COMPUTED_VALUE"""),"Набор из 3 шт, Ценник средний ""Цена"" 35х25 мм белый, самоклеящийся, 
КОМПЛЕКТ 5 рулонов по 250 шт., BRAUBERG, 112362")</f>
        <v>Набор из 3 шт, Ценник средний "Цена" 35х25 мм белый, самоклеящийся, 
КОМПЛЕКТ 5 рулонов по 250 шт., BRAUBERG, 112362</v>
      </c>
      <c r="C25" s="5" t="str">
        <f aca="false">IFERROR(__xludf.dummyfunction("""COMPUTED_VALUE"""),"В наличии 550")</f>
        <v>В наличии 550</v>
      </c>
      <c r="D25" s="5" t="n">
        <f aca="false">IFERROR(__xludf.dummyfunction("""COMPUTED_VALUE"""),561)</f>
        <v>561</v>
      </c>
      <c r="E25" s="7" t="str">
        <f aca="false">IFERROR(__xludf.dummyfunction("""COMPUTED_VALUE"""),"/nabor-iz-3-sht-cennik-srednij-cena-35h25-mm-belyj-samokleyashijsya-komplekt-5-rulonov-po-250-sht-brauberg-112362/")</f>
        <v>/nabor-iz-3-sht-cennik-srednij-cena-35h25-mm-belyj-samokleyashijsya-komplekt-5-rulonov-po-250-sht-brauberg-112362/</v>
      </c>
    </row>
    <row r="26" customFormat="false" ht="23.85" hidden="false" customHeight="false" outlineLevel="0" collapsed="false">
      <c r="A26" s="5" t="n">
        <f aca="false">IFERROR(__xludf.dummyfunction("""COMPUTED_VALUE"""),497749)</f>
        <v>497749</v>
      </c>
      <c r="B26" s="9" t="str">
        <f aca="false">IFERROR(__xludf.dummyfunction("""COMPUTED_VALUE"""),"Набор из 3 шт, Этикет-лента ""Цена"" (123585)")</f>
        <v>Набор из 3 шт, Этикет-лента "Цена" (123585)</v>
      </c>
      <c r="C26" s="5" t="str">
        <f aca="false">IFERROR(__xludf.dummyfunction("""COMPUTED_VALUE"""),"В наличии 410")</f>
        <v>В наличии 410</v>
      </c>
      <c r="D26" s="5" t="n">
        <f aca="false">IFERROR(__xludf.dummyfunction("""COMPUTED_VALUE"""),654)</f>
        <v>654</v>
      </c>
      <c r="E26" s="7" t="str">
        <f aca="false">IFERROR(__xludf.dummyfunction("""COMPUTED_VALUE"""),"/nabor-iz-3-sht-tiket-lenta-cena-123585-/")</f>
        <v>/nabor-iz-3-sht-tiket-lenta-cena-123585-/</v>
      </c>
    </row>
    <row r="27" customFormat="false" ht="23.85" hidden="false" customHeight="false" outlineLevel="0" collapsed="false">
      <c r="A27" s="5" t="n">
        <f aca="false">IFERROR(__xludf.dummyfunction("""COMPUTED_VALUE"""),497750)</f>
        <v>497750</v>
      </c>
      <c r="B27" s="9" t="str">
        <f aca="false">IFERROR(__xludf.dummyfunction("""COMPUTED_VALUE"""),"Набор из 3 шт, Этикет-лента ""Цена"" (123586)")</f>
        <v>Набор из 3 шт, Этикет-лента "Цена" (123586)</v>
      </c>
      <c r="C27" s="5" t="str">
        <f aca="false">IFERROR(__xludf.dummyfunction("""COMPUTED_VALUE"""),"В наличии 947")</f>
        <v>В наличии 947</v>
      </c>
      <c r="D27" s="5" t="n">
        <f aca="false">IFERROR(__xludf.dummyfunction("""COMPUTED_VALUE"""),654)</f>
        <v>654</v>
      </c>
      <c r="E27" s="7" t="str">
        <f aca="false">IFERROR(__xludf.dummyfunction("""COMPUTED_VALUE"""),"/nabor-iz-3-sht-tiket-lenta-cena-123586-/")</f>
        <v>/nabor-iz-3-sht-tiket-lenta-cena-123586-/</v>
      </c>
    </row>
    <row r="28" customFormat="false" ht="23.85" hidden="false" customHeight="false" outlineLevel="0" collapsed="false">
      <c r="A28" s="5" t="n">
        <f aca="false">IFERROR(__xludf.dummyfunction("""COMPUTED_VALUE"""),497751)</f>
        <v>497751</v>
      </c>
      <c r="B28" s="9" t="str">
        <f aca="false">IFERROR(__xludf.dummyfunction("""COMPUTED_VALUE"""),"Набор из 3 шт, Этикет-лента ""Цена"" (123587)")</f>
        <v>Набор из 3 шт, Этикет-лента "Цена" (123587)</v>
      </c>
      <c r="C28" s="5" t="str">
        <f aca="false">IFERROR(__xludf.dummyfunction("""COMPUTED_VALUE"""),"В наличии 1949")</f>
        <v>В наличии 1949</v>
      </c>
      <c r="D28" s="5" t="n">
        <f aca="false">IFERROR(__xludf.dummyfunction("""COMPUTED_VALUE"""),654)</f>
        <v>654</v>
      </c>
      <c r="E28" s="7" t="str">
        <f aca="false">IFERROR(__xludf.dummyfunction("""COMPUTED_VALUE"""),"/nabor-iz-3-sht-tiket-lenta-cena-123587-/")</f>
        <v>/nabor-iz-3-sht-tiket-lenta-cena-123587-/</v>
      </c>
    </row>
    <row r="29" customFormat="false" ht="23.85" hidden="false" customHeight="false" outlineLevel="0" collapsed="false">
      <c r="A29" s="5" t="n">
        <f aca="false">IFERROR(__xludf.dummyfunction("""COMPUTED_VALUE"""),497752)</f>
        <v>497752</v>
      </c>
      <c r="B29" s="9" t="str">
        <f aca="false">IFERROR(__xludf.dummyfunction("""COMPUTED_VALUE"""),"Набор из 3 шт, Этикет-лента ""Цена"" (123588)")</f>
        <v>Набор из 3 шт, Этикет-лента "Цена" (123588)</v>
      </c>
      <c r="C29" s="5" t="str">
        <f aca="false">IFERROR(__xludf.dummyfunction("""COMPUTED_VALUE"""),"В наличии 2185")</f>
        <v>В наличии 2185</v>
      </c>
      <c r="D29" s="5" t="n">
        <f aca="false">IFERROR(__xludf.dummyfunction("""COMPUTED_VALUE"""),498)</f>
        <v>498</v>
      </c>
      <c r="E29" s="7" t="str">
        <f aca="false">IFERROR(__xludf.dummyfunction("""COMPUTED_VALUE"""),"/nabor-iz-3-sht-tiket-lenta-cena-123588-/")</f>
        <v>/nabor-iz-3-sht-tiket-lenta-cena-123588-/</v>
      </c>
    </row>
    <row r="30" customFormat="false" ht="23.85" hidden="false" customHeight="false" outlineLevel="0" collapsed="false">
      <c r="A30" s="5" t="n">
        <f aca="false">IFERROR(__xludf.dummyfunction("""COMPUTED_VALUE"""),497756)</f>
        <v>497756</v>
      </c>
      <c r="B30" s="9" t="str">
        <f aca="false">IFERROR(__xludf.dummyfunction("""COMPUTED_VALUE"""),"Набор из 3 шт, Этикет-лента ""Цена"" (123589)")</f>
        <v>Набор из 3 шт, Этикет-лента "Цена" (123589)</v>
      </c>
      <c r="C30" s="5" t="str">
        <f aca="false">IFERROR(__xludf.dummyfunction("""COMPUTED_VALUE"""),"В наличии 378")</f>
        <v>В наличии 378</v>
      </c>
      <c r="D30" s="5" t="n">
        <f aca="false">IFERROR(__xludf.dummyfunction("""COMPUTED_VALUE"""),498)</f>
        <v>498</v>
      </c>
      <c r="E30" s="7" t="str">
        <f aca="false">IFERROR(__xludf.dummyfunction("""COMPUTED_VALUE"""),"/nabor-iz-3-sht-tiket-lenta-cena-123589-/")</f>
        <v>/nabor-iz-3-sht-tiket-lenta-cena-123589-/</v>
      </c>
    </row>
    <row r="31" customFormat="false" ht="23.85" hidden="false" customHeight="false" outlineLevel="0" collapsed="false">
      <c r="A31" s="5" t="n">
        <f aca="false">IFERROR(__xludf.dummyfunction("""COMPUTED_VALUE"""),497757)</f>
        <v>497757</v>
      </c>
      <c r="B31" s="9" t="str">
        <f aca="false">IFERROR(__xludf.dummyfunction("""COMPUTED_VALUE"""),"Набор из 3 шт, Этикет-лента ""Цена"" (123591)")</f>
        <v>Набор из 3 шт, Этикет-лента "Цена" (123591)</v>
      </c>
      <c r="C31" s="5" t="str">
        <f aca="false">IFERROR(__xludf.dummyfunction("""COMPUTED_VALUE"""),"В наличии 1570")</f>
        <v>В наличии 1570</v>
      </c>
      <c r="D31" s="5" t="n">
        <f aca="false">IFERROR(__xludf.dummyfunction("""COMPUTED_VALUE"""),498)</f>
        <v>498</v>
      </c>
      <c r="E31" s="7" t="str">
        <f aca="false">IFERROR(__xludf.dummyfunction("""COMPUTED_VALUE"""),"/nabor-iz-3-sht-tiket-lenta-cena-123591-/")</f>
        <v>/nabor-iz-3-sht-tiket-lenta-cena-123591-/</v>
      </c>
    </row>
    <row r="32" customFormat="false" ht="57.45" hidden="false" customHeight="false" outlineLevel="0" collapsed="false">
      <c r="A32" s="5" t="n">
        <f aca="false">IFERROR(__xludf.dummyfunction("""COMPUTED_VALUE"""),497728)</f>
        <v>497728</v>
      </c>
      <c r="B32" s="9" t="str">
        <f aca="false">IFERROR(__xludf.dummyfunction("""COMPUTED_VALUE"""),"Набор из 3 шт, Этикет-лента 21х12 мм, прямоугольная, желтая, комплект 5 
рулонов по 600 шт., BRAUBERG (123569)")</f>
        <v>Набор из 3 шт, Этикет-лента 21х12 мм, прямоугольная, желтая, комплект 5 
рулонов по 600 шт., BRAUBERG (123569)</v>
      </c>
      <c r="C32" s="5" t="str">
        <f aca="false">IFERROR(__xludf.dummyfunction("""COMPUTED_VALUE"""),"В наличии 2320")</f>
        <v>В наличии 2320</v>
      </c>
      <c r="D32" s="5" t="n">
        <f aca="false">IFERROR(__xludf.dummyfunction("""COMPUTED_VALUE"""),405)</f>
        <v>405</v>
      </c>
      <c r="E32" s="7" t="str">
        <f aca="false">IFERROR(__xludf.dummyfunction("""COMPUTED_VALUE"""),"/nabor-iz-3-sht-tiket-lenta-21h12-mm-pryamougolnaya-zheltaya-komplekt-5-rulonov-po-600-sht-brauberg-123569-/")</f>
        <v>/nabor-iz-3-sht-tiket-lenta-21h12-mm-pryamougolnaya-zheltaya-komplekt-5-rulonov-po-600-sht-brauberg-123569-/</v>
      </c>
    </row>
    <row r="33" customFormat="false" ht="23.85" hidden="false" customHeight="false" outlineLevel="0" collapsed="false">
      <c r="A33" s="5" t="n">
        <f aca="false">IFERROR(__xludf.dummyfunction("""COMPUTED_VALUE"""),497981)</f>
        <v>497981</v>
      </c>
      <c r="B33" s="9" t="str">
        <f aca="false">IFERROR(__xludf.dummyfunction("""COMPUTED_VALUE"""),"Набор из 4 шт, Красящий ролик для этикет-пистолетов (290345)")</f>
        <v>Набор из 4 шт, Красящий ролик для этикет-пистолетов (290345)</v>
      </c>
      <c r="C33" s="5" t="str">
        <f aca="false">IFERROR(__xludf.dummyfunction("""COMPUTED_VALUE"""),"В наличии 63")</f>
        <v>В наличии 63</v>
      </c>
      <c r="D33" s="5" t="n">
        <f aca="false">IFERROR(__xludf.dummyfunction("""COMPUTED_VALUE"""),1372)</f>
        <v>1372</v>
      </c>
      <c r="E33" s="7" t="str">
        <f aca="false">IFERROR(__xludf.dummyfunction("""COMPUTED_VALUE"""),"/nabor-iz-4-sht-krasyashij-rolik-dlya-tiket-pistoletov-290345-/")</f>
        <v>/nabor-iz-4-sht-krasyashij-rolik-dlya-tiket-pistoletov-290345-/</v>
      </c>
    </row>
    <row r="34" customFormat="false" ht="35.05" hidden="false" customHeight="false" outlineLevel="0" collapsed="false">
      <c r="A34" s="5" t="n">
        <f aca="false">IFERROR(__xludf.dummyfunction("""COMPUTED_VALUE"""),497986)</f>
        <v>497986</v>
      </c>
      <c r="B34" s="9" t="str">
        <f aca="false">IFERROR(__xludf.dummyfunction("""COMPUTED_VALUE"""),"Набор из 4 шт, Красящий ролик для этикет-пистолетов 20 мм (290346)")</f>
        <v>Набор из 4 шт, Красящий ролик для этикет-пистолетов 20 мм (290346)</v>
      </c>
      <c r="C34" s="5" t="str">
        <f aca="false">IFERROR(__xludf.dummyfunction("""COMPUTED_VALUE"""),"В наличии 75")</f>
        <v>В наличии 75</v>
      </c>
      <c r="D34" s="5" t="n">
        <f aca="false">IFERROR(__xludf.dummyfunction("""COMPUTED_VALUE"""),1344)</f>
        <v>1344</v>
      </c>
      <c r="E34" s="7" t="str">
        <f aca="false">IFERROR(__xludf.dummyfunction("""COMPUTED_VALUE"""),"/nabor-iz-4-sht-krasyashij-rolik-dlya-tiket-pistoletov-20-mm-290346-/")</f>
        <v>/nabor-iz-4-sht-krasyashij-rolik-dlya-tiket-pistoletov-20-mm-290346-/</v>
      </c>
    </row>
    <row r="35" customFormat="false" ht="68.65" hidden="false" customHeight="false" outlineLevel="0" collapsed="false">
      <c r="A35" s="5" t="n">
        <f aca="false">IFERROR(__xludf.dummyfunction("""COMPUTED_VALUE"""),503612)</f>
        <v>503612</v>
      </c>
      <c r="B35" s="9" t="str">
        <f aca="false">IFERROR(__xludf.dummyfunction("""COMPUTED_VALUE"""),"Набор из 4 шт, Риббон WAX, 110мм х 74м, втулка диаметр 12,7 мм (0,5 дюйма) 
х ширина 110 мм, красящий слой наружу (OUT), 363527 (363527)")</f>
        <v>Набор из 4 шт, Риббон WAX, 110мм х 74м, втулка диаметр 12,7 мм (0,5 дюйма) 
х ширина 110 мм, красящий слой наружу (OUT), 363527 (363527)</v>
      </c>
      <c r="C35" s="5" t="str">
        <f aca="false">IFERROR(__xludf.dummyfunction("""COMPUTED_VALUE"""),"В наличии 35")</f>
        <v>В наличии 35</v>
      </c>
      <c r="D35" s="5" t="n">
        <f aca="false">IFERROR(__xludf.dummyfunction("""COMPUTED_VALUE"""),532)</f>
        <v>532</v>
      </c>
      <c r="E35" s="7" t="str">
        <f aca="false">IFERROR(__xludf.dummyfunction("""COMPUTED_VALUE"""),"/nabor-iz-4-sht-ribbon-wax-110mm-h-74m-vtulka-diametr-12-7-mm-0-5-dyujma-h-shirina-110-mm-krasyashij-sloj-naruzhu-out-363527-363527-/")</f>
        <v>/nabor-iz-4-sht-ribbon-wax-110mm-h-74m-vtulka-diametr-12-7-mm-0-5-dyujma-h-shirina-110-mm-krasyashij-sloj-naruzhu-out-363527-363527-/</v>
      </c>
    </row>
    <row r="36" customFormat="false" ht="23.85" hidden="false" customHeight="false" outlineLevel="0" collapsed="false">
      <c r="A36" s="5" t="n">
        <f aca="false">IFERROR(__xludf.dummyfunction("""COMPUTED_VALUE"""),497732)</f>
        <v>497732</v>
      </c>
      <c r="B36" s="9" t="str">
        <f aca="false">IFERROR(__xludf.dummyfunction("""COMPUTED_VALUE"""),"Набор из 4 шт, Этикет-лента 22х12 мм (123573)")</f>
        <v>Набор из 4 шт, Этикет-лента 22х12 мм (123573)</v>
      </c>
      <c r="C36" s="5" t="str">
        <f aca="false">IFERROR(__xludf.dummyfunction("""COMPUTED_VALUE"""),"В наличии 481")</f>
        <v>В наличии 481</v>
      </c>
      <c r="D36" s="5" t="n">
        <f aca="false">IFERROR(__xludf.dummyfunction("""COMPUTED_VALUE"""),576)</f>
        <v>576</v>
      </c>
      <c r="E36" s="7" t="str">
        <f aca="false">IFERROR(__xludf.dummyfunction("""COMPUTED_VALUE"""),"/nabor-iz-4-sht-tiket-lenta-22h12-mm-123573-/")</f>
        <v>/nabor-iz-4-sht-tiket-lenta-22h12-mm-123573-/</v>
      </c>
    </row>
    <row r="37" customFormat="false" ht="23.85" hidden="false" customHeight="false" outlineLevel="0" collapsed="false">
      <c r="A37" s="5" t="n">
        <f aca="false">IFERROR(__xludf.dummyfunction("""COMPUTED_VALUE"""),497733)</f>
        <v>497733</v>
      </c>
      <c r="B37" s="9" t="str">
        <f aca="false">IFERROR(__xludf.dummyfunction("""COMPUTED_VALUE"""),"Набор из 4 шт, Этикет-лента 22х12 мм (123574)")</f>
        <v>Набор из 4 шт, Этикет-лента 22х12 мм (123574)</v>
      </c>
      <c r="C37" s="5" t="str">
        <f aca="false">IFERROR(__xludf.dummyfunction("""COMPUTED_VALUE"""),"В наличии 74")</f>
        <v>В наличии 74</v>
      </c>
      <c r="D37" s="5" t="n">
        <f aca="false">IFERROR(__xludf.dummyfunction("""COMPUTED_VALUE"""),616)</f>
        <v>616</v>
      </c>
      <c r="E37" s="7" t="str">
        <f aca="false">IFERROR(__xludf.dummyfunction("""COMPUTED_VALUE"""),"/nabor-iz-4-sht-tiket-lenta-22h12-mm-123574-/")</f>
        <v>/nabor-iz-4-sht-tiket-lenta-22h12-mm-123574-/</v>
      </c>
    </row>
    <row r="38" customFormat="false" ht="23.85" hidden="false" customHeight="false" outlineLevel="0" collapsed="false">
      <c r="A38" s="5" t="n">
        <f aca="false">IFERROR(__xludf.dummyfunction("IMPORTXML(getIdItems(""https://www.lustrof.ru/category/ofis/kanctovary/bumaga/ehtiketki-i-cenniki/?page="",2),""//span[@class='products__item-info-code-v']"")"),497734)</f>
        <v>497734</v>
      </c>
      <c r="B38" s="6" t="str">
        <f aca="false">IFERROR(__xludf.dummyfunction("IMPORTXML(getIdItems(""https://www.lustrof.ru/category/ofis/kanctovary/bumaga/ehtiketki-i-cenniki/?page="",2),""//span[@class='products__item-info-name']"")"),"Набор из 4 шт, Этикет-лента 22х12 мм (123575)")</f>
        <v>Набор из 4 шт, Этикет-лента 22х12 мм (123575)</v>
      </c>
      <c r="C38" s="5" t="str">
        <f aca="false">IFERROR(__xludf.dummyfunction("IMPORTXML(getIdItems(""https://www.lustrof.ru/category/ofis/kanctovary/bumaga/ehtiketki-i-cenniki/?page="",2),""//span[@class='products__available-in-stock']"")"),"В наличии 938")</f>
        <v>В наличии 938</v>
      </c>
      <c r="D38" s="5" t="n">
        <f aca="false">IFERROR(__xludf.dummyfunction("IMPORTXML(getIdItems(""https://www.lustrof.ru/category/ofis/kanctovary/bumaga/ehtiketki-i-cenniki/?page="",2),""//span[@class='products__price-new']/text()"")"),616)</f>
        <v>616</v>
      </c>
      <c r="E38" s="7" t="str">
        <f aca="false">IFERROR(__xludf.dummyfunction("IMPORTXML(getIdItems(""https://www.lustrof.ru/category/ofis/kanctovary/bumaga/ehtiketki-i-cenniki/?page="",2),""//div[@class='products__item']/a/@href"")"),"/nabor-iz-4-sht-tiket-lenta-22h12-mm-123575-/")</f>
        <v>/nabor-iz-4-sht-tiket-lenta-22h12-mm-123575-/</v>
      </c>
    </row>
    <row r="39" customFormat="false" ht="23.85" hidden="false" customHeight="false" outlineLevel="0" collapsed="false">
      <c r="A39" s="5" t="n">
        <f aca="false">IFERROR(__xludf.dummyfunction("""COMPUTED_VALUE"""),497735)</f>
        <v>497735</v>
      </c>
      <c r="B39" s="9" t="str">
        <f aca="false">IFERROR(__xludf.dummyfunction("""COMPUTED_VALUE"""),"Набор из 4 шт, Этикет-лента 26х12 мм (123576)")</f>
        <v>Набор из 4 шт, Этикет-лента 26х12 мм (123576)</v>
      </c>
      <c r="C39" s="5" t="str">
        <f aca="false">IFERROR(__xludf.dummyfunction("""COMPUTED_VALUE"""),"В наличии 2997")</f>
        <v>В наличии 2997</v>
      </c>
      <c r="D39" s="5" t="n">
        <f aca="false">IFERROR(__xludf.dummyfunction("""COMPUTED_VALUE"""),728)</f>
        <v>728</v>
      </c>
      <c r="E39" s="7" t="str">
        <f aca="false">IFERROR(__xludf.dummyfunction("""COMPUTED_VALUE"""),"/nabor-iz-4-sht-tiket-lenta-26h12-mm-123576-/")</f>
        <v>/nabor-iz-4-sht-tiket-lenta-26h12-mm-123576-/</v>
      </c>
    </row>
    <row r="40" customFormat="false" ht="68.65" hidden="false" customHeight="false" outlineLevel="0" collapsed="false">
      <c r="A40" s="5" t="n">
        <f aca="false">IFERROR(__xludf.dummyfunction("""COMPUTED_VALUE"""),503608)</f>
        <v>503608</v>
      </c>
      <c r="B40" s="9" t="str">
        <f aca="false">IFERROR(__xludf.dummyfunction("""COMPUTED_VALUE"""),"Набор из 4 шт, Этикетка термотрансферная ПОЛУГЛЯНЕЦ (100х50 мм), 500 
этикеток в ролике, 111978 (111978)")</f>
        <v>Набор из 4 шт, Этикетка термотрансферная ПОЛУГЛЯНЕЦ (100х50 мм), 500 
этикеток в ролике, 111978 (111978)</v>
      </c>
      <c r="C40" s="5" t="str">
        <f aca="false">IFERROR(__xludf.dummyfunction("""COMPUTED_VALUE"""),"В наличии 202")</f>
        <v>В наличии 202</v>
      </c>
      <c r="D40" s="5" t="n">
        <f aca="false">IFERROR(__xludf.dummyfunction("""COMPUTED_VALUE"""),1756)</f>
        <v>1756</v>
      </c>
      <c r="E40" s="7" t="str">
        <f aca="false">IFERROR(__xludf.dummyfunction("""COMPUTED_VALUE"""),"/nabor-iz-4-sht-tiketka-termotransfernaya-poluglyanec-100h50-mm-500-tiketok-v-rolike-111978-111978-/")</f>
        <v>/nabor-iz-4-sht-tiketka-termotransfernaya-poluglyanec-100h50-mm-500-tiketok-v-rolike-111978-111978-/</v>
      </c>
    </row>
    <row r="41" customFormat="false" ht="68.65" hidden="false" customHeight="false" outlineLevel="0" collapsed="false">
      <c r="A41" s="5" t="n">
        <f aca="false">IFERROR(__xludf.dummyfunction("""COMPUTED_VALUE"""),507096)</f>
        <v>507096</v>
      </c>
      <c r="B41" s="9" t="str">
        <f aca="false">IFERROR(__xludf.dummyfunction("""COMPUTED_VALUE"""),"Набор из 4 шт, Этикетка термотрансферная ПОЛУГЛЯНЕЦ (100х72 мм), 500 
этикеток в ролике, 111977, 54252 114517")</f>
        <v>Набор из 4 шт, Этикетка термотрансферная ПОЛУГЛЯНЕЦ (100х72 мм), 500 
этикеток в ролике, 111977, 54252 114517</v>
      </c>
      <c r="C41" s="5" t="str">
        <f aca="false">IFERROR(__xludf.dummyfunction("""COMPUTED_VALUE"""),"В наличии 313")</f>
        <v>В наличии 313</v>
      </c>
      <c r="D41" s="5" t="n">
        <f aca="false">IFERROR(__xludf.dummyfunction("""COMPUTED_VALUE"""),2024)</f>
        <v>2024</v>
      </c>
      <c r="E41" s="7" t="str">
        <f aca="false">IFERROR(__xludf.dummyfunction("""COMPUTED_VALUE"""),"/nabor-iz-4-sht-tiketka-termotransfernaya-poluglyanec-100h72-mm-500-tiketok-v-rolike-111977-54252-114517/")</f>
        <v>/nabor-iz-4-sht-tiketka-termotransfernaya-poluglyanec-100h72-mm-500-tiketok-v-rolike-111977-54252-114517/</v>
      </c>
    </row>
    <row r="42" customFormat="false" ht="68.65" hidden="false" customHeight="false" outlineLevel="0" collapsed="false">
      <c r="A42" s="5" t="n">
        <f aca="false">IFERROR(__xludf.dummyfunction("""COMPUTED_VALUE"""),503607)</f>
        <v>503607</v>
      </c>
      <c r="B42" s="9" t="str">
        <f aca="false">IFERROR(__xludf.dummyfunction("""COMPUTED_VALUE"""),"Набор из 4 шт, Этикетка термотрансферная ПОЛУГЛЯНЕЦ (100х72 мм), 500 
этикеток в ролике, 52203 (111977)")</f>
        <v>Набор из 4 шт, Этикетка термотрансферная ПОЛУГЛЯНЕЦ (100х72 мм), 500 
этикеток в ролике, 52203 (111977)</v>
      </c>
      <c r="C42" s="5" t="str">
        <f aca="false">IFERROR(__xludf.dummyfunction("""COMPUTED_VALUE"""),"В наличии 215")</f>
        <v>В наличии 215</v>
      </c>
      <c r="D42" s="5" t="n">
        <f aca="false">IFERROR(__xludf.dummyfunction("""COMPUTED_VALUE"""),2292)</f>
        <v>2292</v>
      </c>
      <c r="E42" s="7" t="str">
        <f aca="false">IFERROR(__xludf.dummyfunction("""COMPUTED_VALUE"""),"/nabor-iz-4-sht-tiketka-termotransfernaya-poluglyanec-100h72-mm-500-tiketok-v-rolike-52203-111977-/")</f>
        <v>/nabor-iz-4-sht-tiketka-termotransfernaya-poluglyanec-100h72-mm-500-tiketok-v-rolike-52203-111977-/</v>
      </c>
    </row>
    <row r="43" customFormat="false" ht="68.65" hidden="false" customHeight="false" outlineLevel="0" collapsed="false">
      <c r="A43" s="5" t="n">
        <f aca="false">IFERROR(__xludf.dummyfunction("""COMPUTED_VALUE"""),507139)</f>
        <v>507139</v>
      </c>
      <c r="B43" s="9" t="str">
        <f aca="false">IFERROR(__xludf.dummyfunction("""COMPUTED_VALUE"""),"Набор из 4 шт, Этикетка ТермоЭко (100х150 мм), 300 этикеток в ролике, 
прозрачная подложка, светостойкость до 2 месяцев, 114510, 54165 114510")</f>
        <v>Набор из 4 шт, Этикетка ТермоЭко (100х150 мм), 300 этикеток в ролике, 
прозрачная подложка, светостойкость до 2 месяцев, 114510, 54165 114510</v>
      </c>
      <c r="C43" s="5" t="str">
        <f aca="false">IFERROR(__xludf.dummyfunction("""COMPUTED_VALUE"""),"В наличии 92")</f>
        <v>В наличии 92</v>
      </c>
      <c r="D43" s="5" t="n">
        <f aca="false">IFERROR(__xludf.dummyfunction("""COMPUTED_VALUE"""),2968)</f>
        <v>2968</v>
      </c>
      <c r="E43" s="7" t="str">
        <f aca="false">IFERROR(__xludf.dummyfunction("""COMPUTED_VALUE"""),"/nabor-iz-4-sht-tiketka-termo-ko-100h150-mm-300-tiketok-v-rolike-prozrachnaya-podlozhka-svetostojkost-do-2-mesyacev-114510-54165-114510/")</f>
        <v>/nabor-iz-4-sht-tiketka-termo-ko-100h150-mm-300-tiketok-v-rolike-prozrachnaya-podlozhka-svetostojkost-do-2-mesyacev-114510-54165-114510/</v>
      </c>
    </row>
    <row r="44" customFormat="false" ht="57.45" hidden="false" customHeight="false" outlineLevel="0" collapsed="false">
      <c r="A44" s="5" t="n">
        <f aca="false">IFERROR(__xludf.dummyfunction("""COMPUTED_VALUE"""),503569)</f>
        <v>503569</v>
      </c>
      <c r="B44" s="9" t="str">
        <f aca="false">IFERROR(__xludf.dummyfunction("""COMPUTED_VALUE"""),"Набор из 4 шт, Этикетка ТермоЭко (100х150 мм), 300 этикеток в ролике, 
светостойкость до 2 месяцев, 111965")</f>
        <v>Набор из 4 шт, Этикетка ТермоЭко (100х150 мм), 300 этикеток в ролике, 
светостойкость до 2 месяцев, 111965</v>
      </c>
      <c r="C44" s="5" t="str">
        <f aca="false">IFERROR(__xludf.dummyfunction("""COMPUTED_VALUE"""),"В наличии 366")</f>
        <v>В наличии 366</v>
      </c>
      <c r="D44" s="5" t="n">
        <f aca="false">IFERROR(__xludf.dummyfunction("""COMPUTED_VALUE"""),3028)</f>
        <v>3028</v>
      </c>
      <c r="E44" s="7" t="str">
        <f aca="false">IFERROR(__xludf.dummyfunction("""COMPUTED_VALUE"""),"/nabor-iz-4-sht-tiketka-termo-ko-100h150-mm-300-tiketok-v-rolike-svetostojkost-do-2-mesyacev-111965/")</f>
        <v>/nabor-iz-4-sht-tiketka-termo-ko-100h150-mm-300-tiketok-v-rolike-svetostojkost-do-2-mesyacev-111965/</v>
      </c>
    </row>
    <row r="45" customFormat="false" ht="68.65" hidden="false" customHeight="false" outlineLevel="0" collapsed="false">
      <c r="A45" s="5" t="n">
        <f aca="false">IFERROR(__xludf.dummyfunction("""COMPUTED_VALUE"""),507137)</f>
        <v>507137</v>
      </c>
      <c r="B45" s="9" t="str">
        <f aca="false">IFERROR(__xludf.dummyfunction("""COMPUTED_VALUE"""),"Набор из 4 шт, Этикетка ТермоЭко (100х50 мм), 500 этикеток в ролике, 
прозрачная подложка, светостойкость до 2 месяцев, 114508, 54166 114508")</f>
        <v>Набор из 4 шт, Этикетка ТермоЭко (100х50 мм), 500 этикеток в ролике, 
прозрачная подложка, светостойкость до 2 месяцев, 114508, 54166 114508</v>
      </c>
      <c r="C45" s="5" t="str">
        <f aca="false">IFERROR(__xludf.dummyfunction("""COMPUTED_VALUE"""),"В наличии 221")</f>
        <v>В наличии 221</v>
      </c>
      <c r="D45" s="5" t="n">
        <f aca="false">IFERROR(__xludf.dummyfunction("""COMPUTED_VALUE"""),1824)</f>
        <v>1824</v>
      </c>
      <c r="E45" s="7" t="str">
        <f aca="false">IFERROR(__xludf.dummyfunction("""COMPUTED_VALUE"""),"/nabor-iz-4-sht-tiketka-termo-ko-100h50-mm-500-tiketok-v-rolike-prozrachnaya-podlozhka-svetostojkost-do-2-mesyacev-114508-54166-114508/")</f>
        <v>/nabor-iz-4-sht-tiketka-termo-ko-100h50-mm-500-tiketok-v-rolike-prozrachnaya-podlozhka-svetostojkost-do-2-mesyacev-114508-54166-114508/</v>
      </c>
    </row>
    <row r="46" customFormat="false" ht="57.45" hidden="false" customHeight="false" outlineLevel="0" collapsed="false">
      <c r="A46" s="5" t="n">
        <f aca="false">IFERROR(__xludf.dummyfunction("""COMPUTED_VALUE"""),503567)</f>
        <v>503567</v>
      </c>
      <c r="B46" s="9" t="str">
        <f aca="false">IFERROR(__xludf.dummyfunction("""COMPUTED_VALUE"""),"Набор из 4 шт, Этикетка ТермоЭко (100х50 мм), 500 этикеток в ролике, 
светостойкость до 2 месяцев, 111963")</f>
        <v>Набор из 4 шт, Этикетка ТермоЭко (100х50 мм), 500 этикеток в ролике, 
светостойкость до 2 месяцев, 111963</v>
      </c>
      <c r="C46" s="5" t="str">
        <f aca="false">IFERROR(__xludf.dummyfunction("""COMPUTED_VALUE"""),"В наличии 1515")</f>
        <v>В наличии 1515</v>
      </c>
      <c r="D46" s="5" t="n">
        <f aca="false">IFERROR(__xludf.dummyfunction("""COMPUTED_VALUE"""),1860)</f>
        <v>1860</v>
      </c>
      <c r="E46" s="7" t="str">
        <f aca="false">IFERROR(__xludf.dummyfunction("""COMPUTED_VALUE"""),"/nabor-iz-4-sht-tiketka-termo-ko-100h50-mm-500-tiketok-v-rolike-svetostojkost-do-2-mesyacev-111963/")</f>
        <v>/nabor-iz-4-sht-tiketka-termo-ko-100h50-mm-500-tiketok-v-rolike-svetostojkost-do-2-mesyacev-111963/</v>
      </c>
    </row>
    <row r="47" customFormat="false" ht="68.65" hidden="false" customHeight="false" outlineLevel="0" collapsed="false">
      <c r="A47" s="5" t="n">
        <f aca="false">IFERROR(__xludf.dummyfunction("""COMPUTED_VALUE"""),507136)</f>
        <v>507136</v>
      </c>
      <c r="B47" s="9" t="str">
        <f aca="false">IFERROR(__xludf.dummyfunction("""COMPUTED_VALUE"""),"Набор из 4 шт, Этикетка ТермоЭко (58х90 мм), 500 этикеток в ролике, 
прозрачная подложка, светостойкость до 2 месяцев, 114507, 54246 114507")</f>
        <v>Набор из 4 шт, Этикетка ТермоЭко (58х90 мм), 500 этикеток в ролике, 
прозрачная подложка, светостойкость до 2 месяцев, 114507, 54246 114507</v>
      </c>
      <c r="C47" s="5" t="str">
        <f aca="false">IFERROR(__xludf.dummyfunction("""COMPUTED_VALUE"""),"В наличии 16")</f>
        <v>В наличии 16</v>
      </c>
      <c r="D47" s="5" t="n">
        <f aca="false">IFERROR(__xludf.dummyfunction("""COMPUTED_VALUE"""),1208)</f>
        <v>1208</v>
      </c>
      <c r="E47" s="7" t="str">
        <f aca="false">IFERROR(__xludf.dummyfunction("""COMPUTED_VALUE"""),"/nabor-iz-4-sht-tiketka-termo-ko-58h90-mm-500-tiketok-v-rolike-prozrachnaya-podlozhka-svetostojkost-do-2-mesyacev-114507-54246-114507/")</f>
        <v>/nabor-iz-4-sht-tiketka-termo-ko-58h90-mm-500-tiketok-v-rolike-prozrachnaya-podlozhka-svetostojkost-do-2-mesyacev-114507-54246-114507/</v>
      </c>
    </row>
    <row r="48" customFormat="false" ht="57.45" hidden="false" customHeight="false" outlineLevel="0" collapsed="false">
      <c r="A48" s="5" t="n">
        <f aca="false">IFERROR(__xludf.dummyfunction("""COMPUTED_VALUE"""),504939)</f>
        <v>504939</v>
      </c>
      <c r="B48" s="9" t="str">
        <f aca="false">IFERROR(__xludf.dummyfunction("""COMPUTED_VALUE"""),"Набор из 4 шт, Этикетка ТермоЭко (58х90 мм), 500 этикеток в ролике, 
светостойкость до 2 месяцев, 112367")</f>
        <v>Набор из 4 шт, Этикетка ТермоЭко (58х90 мм), 500 этикеток в ролике, 
светостойкость до 2 месяцев, 112367</v>
      </c>
      <c r="C48" s="5" t="str">
        <f aca="false">IFERROR(__xludf.dummyfunction("""COMPUTED_VALUE"""),"В наличии 12")</f>
        <v>В наличии 12</v>
      </c>
      <c r="D48" s="5" t="n">
        <f aca="false">IFERROR(__xludf.dummyfunction("""COMPUTED_VALUE"""),1236)</f>
        <v>1236</v>
      </c>
      <c r="E48" s="7" t="str">
        <f aca="false">IFERROR(__xludf.dummyfunction("""COMPUTED_VALUE"""),"/nabor-iz-4-sht-tiketka-termo-ko-58h90-mm-500-tiketok-v-rolike-svetostojkost-do-2-mesyacev-112367/")</f>
        <v>/nabor-iz-4-sht-tiketka-termo-ko-58h90-mm-500-tiketok-v-rolike-svetostojkost-do-2-mesyacev-112367/</v>
      </c>
    </row>
    <row r="49" customFormat="false" ht="23.85" hidden="false" customHeight="false" outlineLevel="0" collapsed="false">
      <c r="A49" s="5" t="n">
        <f aca="false">IFERROR(__xludf.dummyfunction("""COMPUTED_VALUE"""),497355)</f>
        <v>497355</v>
      </c>
      <c r="B49" s="9" t="str">
        <f aca="false">IFERROR(__xludf.dummyfunction("""COMPUTED_VALUE"""),"Набор из 5 шт, Ценники бумажные ""Большой"" (128688)")</f>
        <v>Набор из 5 шт, Ценники бумажные "Большой" (128688)</v>
      </c>
      <c r="C49" s="5" t="str">
        <f aca="false">IFERROR(__xludf.dummyfunction("""COMPUTED_VALUE"""),"В наличии 79")</f>
        <v>В наличии 79</v>
      </c>
      <c r="D49" s="5" t="n">
        <f aca="false">IFERROR(__xludf.dummyfunction("""COMPUTED_VALUE"""),735)</f>
        <v>735</v>
      </c>
      <c r="E49" s="7" t="str">
        <f aca="false">IFERROR(__xludf.dummyfunction("""COMPUTED_VALUE"""),"/nabor-iz-5-sht-cenniki-bumazhnye-bolshoj-128688-/")</f>
        <v>/nabor-iz-5-sht-cenniki-bumazhnye-bolshoj-128688-/</v>
      </c>
    </row>
    <row r="50" customFormat="false" ht="23.85" hidden="false" customHeight="false" outlineLevel="0" collapsed="false">
      <c r="A50" s="5" t="n">
        <f aca="false">IFERROR(__xludf.dummyfunction("""COMPUTED_VALUE"""),497881)</f>
        <v>497881</v>
      </c>
      <c r="B50" s="9" t="str">
        <f aca="false">IFERROR(__xludf.dummyfunction("""COMPUTED_VALUE"""),"Набор из 5 шт, Этикетка ТермоТоп (43х25 мм) (126101)")</f>
        <v>Набор из 5 шт, Этикетка ТермоТоп (43х25 мм) (126101)</v>
      </c>
      <c r="C50" s="5" t="str">
        <f aca="false">IFERROR(__xludf.dummyfunction("""COMPUTED_VALUE"""),"В наличии 854")</f>
        <v>В наличии 854</v>
      </c>
      <c r="D50" s="5" t="n">
        <f aca="false">IFERROR(__xludf.dummyfunction("""COMPUTED_VALUE"""),790)</f>
        <v>790</v>
      </c>
      <c r="E50" s="7" t="str">
        <f aca="false">IFERROR(__xludf.dummyfunction("""COMPUTED_VALUE"""),"/nabor-iz-5-sht-tiketka-termotop-43h25-mm-126101-/")</f>
        <v>/nabor-iz-5-sht-tiketka-termotop-43h25-mm-126101-/</v>
      </c>
    </row>
    <row r="51" customFormat="false" ht="23.85" hidden="false" customHeight="false" outlineLevel="0" collapsed="false">
      <c r="A51" s="5" t="n">
        <f aca="false">IFERROR(__xludf.dummyfunction("""COMPUTED_VALUE"""),497882)</f>
        <v>497882</v>
      </c>
      <c r="B51" s="9" t="str">
        <f aca="false">IFERROR(__xludf.dummyfunction("""COMPUTED_VALUE"""),"Набор из 5 шт, Этикетка ТермоТоп (47х26 мм) (126102)")</f>
        <v>Набор из 5 шт, Этикетка ТермоТоп (47х26 мм) (126102)</v>
      </c>
      <c r="C51" s="5" t="str">
        <f aca="false">IFERROR(__xludf.dummyfunction("""COMPUTED_VALUE"""),"В наличии 24")</f>
        <v>В наличии 24</v>
      </c>
      <c r="D51" s="5" t="n">
        <f aca="false">IFERROR(__xludf.dummyfunction("""COMPUTED_VALUE"""),2070)</f>
        <v>2070</v>
      </c>
      <c r="E51" s="7" t="str">
        <f aca="false">IFERROR(__xludf.dummyfunction("""COMPUTED_VALUE"""),"/nabor-iz-5-sht-tiketka-termotop-47h26-mm-126102-/")</f>
        <v>/nabor-iz-5-sht-tiketka-termotop-47h26-mm-126102-/</v>
      </c>
    </row>
    <row r="52" customFormat="false" ht="57.45" hidden="false" customHeight="false" outlineLevel="0" collapsed="false">
      <c r="A52" s="5" t="n">
        <f aca="false">IFERROR(__xludf.dummyfunction("""COMPUTED_VALUE"""),504775)</f>
        <v>504775</v>
      </c>
      <c r="B52" s="9" t="str">
        <f aca="false">IFERROR(__xludf.dummyfunction("""COMPUTED_VALUE"""),"Набор из 5 шт, Этикетка термотрансферная ПОЛИПРОПИЛЕНОВАЯ (43х25 мм), 1000 
этикеток в ролике, 53080")</f>
        <v>Набор из 5 шт, Этикетка термотрансферная ПОЛИПРОПИЛЕНОВАЯ (43х25 мм), 1000 
этикеток в ролике, 53080</v>
      </c>
      <c r="C52" s="5" t="str">
        <f aca="false">IFERROR(__xludf.dummyfunction("""COMPUTED_VALUE"""),"В наличии 102")</f>
        <v>В наличии 102</v>
      </c>
      <c r="D52" s="5" t="n">
        <f aca="false">IFERROR(__xludf.dummyfunction("""COMPUTED_VALUE"""),1235)</f>
        <v>1235</v>
      </c>
      <c r="E52" s="7" t="str">
        <f aca="false">IFERROR(__xludf.dummyfunction("""COMPUTED_VALUE"""),"/nabor-iz-5-sht-tiketka-termotransfernaya-polipropilenovaya-43h25-mm-1000-tiketok-v-rolike-53080/")</f>
        <v>/nabor-iz-5-sht-tiketka-termotransfernaya-polipropilenovaya-43h25-mm-1000-tiketok-v-rolike-53080/</v>
      </c>
    </row>
    <row r="53" customFormat="false" ht="23.85" hidden="false" customHeight="false" outlineLevel="0" collapsed="false">
      <c r="A53" s="5" t="n">
        <f aca="false">IFERROR(__xludf.dummyfunction("""COMPUTED_VALUE"""),497237)</f>
        <v>497237</v>
      </c>
      <c r="B53" s="9" t="str">
        <f aca="false">IFERROR(__xludf.dummyfunction("""COMPUTED_VALUE"""),"Набор из 5 шт, Этикетка ТермоЭко (43х25 мм) (122066)")</f>
        <v>Набор из 5 шт, Этикетка ТермоЭко (43х25 мм) (122066)</v>
      </c>
      <c r="C53" s="5" t="str">
        <f aca="false">IFERROR(__xludf.dummyfunction("""COMPUTED_VALUE"""),"В наличии 847")</f>
        <v>В наличии 847</v>
      </c>
      <c r="D53" s="5" t="n">
        <f aca="false">IFERROR(__xludf.dummyfunction("""COMPUTED_VALUE"""),660)</f>
        <v>660</v>
      </c>
      <c r="E53" s="7" t="str">
        <f aca="false">IFERROR(__xludf.dummyfunction("""COMPUTED_VALUE"""),"/nabor-iz-5-sht-tiketka-termo-ko-43h25-mm-122066-/")</f>
        <v>/nabor-iz-5-sht-tiketka-termo-ko-43h25-mm-122066-/</v>
      </c>
    </row>
    <row r="54" customFormat="false" ht="68.65" hidden="false" customHeight="false" outlineLevel="0" collapsed="false">
      <c r="A54" s="5" t="n">
        <f aca="false">IFERROR(__xludf.dummyfunction("""COMPUTED_VALUE"""),507134)</f>
        <v>507134</v>
      </c>
      <c r="B54" s="9" t="str">
        <f aca="false">IFERROR(__xludf.dummyfunction("""COMPUTED_VALUE"""),"Набор из 5 шт, Этикетка ТермоЭко (43х25 мм), 1000 этикеток в ролике, 
прозрачная подложка, светостойкость до 2 месяцев, 114501, 54236 114501")</f>
        <v>Набор из 5 шт, Этикетка ТермоЭко (43х25 мм), 1000 этикеток в ролике, 
прозрачная подложка, светостойкость до 2 месяцев, 114501, 54236 114501</v>
      </c>
      <c r="C54" s="5" t="str">
        <f aca="false">IFERROR(__xludf.dummyfunction("""COMPUTED_VALUE"""),"В наличии 17")</f>
        <v>В наличии 17</v>
      </c>
      <c r="D54" s="5" t="n">
        <f aca="false">IFERROR(__xludf.dummyfunction("""COMPUTED_VALUE"""),645)</f>
        <v>645</v>
      </c>
      <c r="E54" s="7" t="str">
        <f aca="false">IFERROR(__xludf.dummyfunction("""COMPUTED_VALUE"""),"/nabor-iz-5-sht-tiketka-termo-ko-43h25-mm-1000-tiketok-v-rolike-prozrachnaya-podlozhka-svetostojkost-do-2-mesyacev-114501-54236-114501/")</f>
        <v>/nabor-iz-5-sht-tiketka-termo-ko-43h25-mm-1000-tiketok-v-rolike-prozrachnaya-podlozhka-svetostojkost-do-2-mesyacev-114501-54236-114501/</v>
      </c>
    </row>
    <row r="55" customFormat="false" ht="23.85" hidden="false" customHeight="false" outlineLevel="0" collapsed="false">
      <c r="A55" s="5" t="n">
        <f aca="false">IFERROR(__xludf.dummyfunction("""COMPUTED_VALUE"""),497252)</f>
        <v>497252</v>
      </c>
      <c r="B55" s="9" t="str">
        <f aca="false">IFERROR(__xludf.dummyfunction("""COMPUTED_VALUE"""),"Набор из 5 шт, Этикетка ТермоЭко (47х26 мм) (122304)")</f>
        <v>Набор из 5 шт, Этикетка ТермоЭко (47х26 мм) (122304)</v>
      </c>
      <c r="C55" s="5" t="str">
        <f aca="false">IFERROR(__xludf.dummyfunction("""COMPUTED_VALUE"""),"В наличии 181")</f>
        <v>В наличии 181</v>
      </c>
      <c r="D55" s="5" t="n">
        <f aca="false">IFERROR(__xludf.dummyfunction("""COMPUTED_VALUE"""),1315)</f>
        <v>1315</v>
      </c>
      <c r="E55" s="7" t="str">
        <f aca="false">IFERROR(__xludf.dummyfunction("""COMPUTED_VALUE"""),"/nabor-iz-5-sht-tiketka-termo-ko-47h26-mm-122304-/")</f>
        <v>/nabor-iz-5-sht-tiketka-termo-ko-47h26-mm-122304-/</v>
      </c>
    </row>
    <row r="56" customFormat="false" ht="68.65" hidden="false" customHeight="false" outlineLevel="0" collapsed="false">
      <c r="A56" s="5" t="n">
        <f aca="false">IFERROR(__xludf.dummyfunction("""COMPUTED_VALUE"""),507135)</f>
        <v>507135</v>
      </c>
      <c r="B56" s="9" t="str">
        <f aca="false">IFERROR(__xludf.dummyfunction("""COMPUTED_VALUE"""),"Набор из 5 шт, Этикетка ТермоЭко (47х26 мм), 2000 этикеток в ролике, 
прозрачная подложка, светостойкость до 2 месяцев, 114502, 54237 114502")</f>
        <v>Набор из 5 шт, Этикетка ТермоЭко (47х26 мм), 2000 этикеток в ролике, 
прозрачная подложка, светостойкость до 2 месяцев, 114502, 54237 114502</v>
      </c>
      <c r="C56" s="5" t="str">
        <f aca="false">IFERROR(__xludf.dummyfunction("""COMPUTED_VALUE"""),"В наличии 91")</f>
        <v>В наличии 91</v>
      </c>
      <c r="D56" s="5" t="n">
        <f aca="false">IFERROR(__xludf.dummyfunction("""COMPUTED_VALUE"""),1290)</f>
        <v>1290</v>
      </c>
      <c r="E56" s="7" t="str">
        <f aca="false">IFERROR(__xludf.dummyfunction("""COMPUTED_VALUE"""),"/nabor-iz-5-sht-tiketka-termo-ko-47h26-mm-2000-tiketok-v-rolike-prozrachnaya-podlozhka-svetostojkost-do-2-mesyacev-114502-54237-114502/")</f>
        <v>/nabor-iz-5-sht-tiketka-termo-ko-47h26-mm-2000-tiketok-v-rolike-prozrachnaya-podlozhka-svetostojkost-do-2-mesyacev-114502-54237-114502/</v>
      </c>
    </row>
    <row r="57" customFormat="false" ht="57.45" hidden="false" customHeight="false" outlineLevel="0" collapsed="false">
      <c r="A57" s="5" t="n">
        <f aca="false">IFERROR(__xludf.dummyfunction("""COMPUTED_VALUE"""),503610)</f>
        <v>503610</v>
      </c>
      <c r="B57" s="9" t="str">
        <f aca="false">IFERROR(__xludf.dummyfunction("""COMPUTED_VALUE"""),"Набор из 6 шт, Риббон WAX, 57 мм х 74 м, втулка диаметр 12,7 мм (0,5 дюйма) 
х ширина 57 мм, красящий слой наружу (OUT), 363525 (363525)")</f>
        <v>Набор из 6 шт, Риббон WAX, 57 мм х 74 м, втулка диаметр 12,7 мм (0,5 дюйма) 
х ширина 57 мм, красящий слой наружу (OUT), 363525 (363525)</v>
      </c>
      <c r="C57" s="5" t="str">
        <f aca="false">IFERROR(__xludf.dummyfunction("""COMPUTED_VALUE"""),"В наличии 114")</f>
        <v>В наличии 114</v>
      </c>
      <c r="D57" s="5" t="n">
        <f aca="false">IFERROR(__xludf.dummyfunction("""COMPUTED_VALUE"""),414)</f>
        <v>414</v>
      </c>
      <c r="E57" s="7" t="str">
        <f aca="false">IFERROR(__xludf.dummyfunction("""COMPUTED_VALUE"""),"/nabor-iz-6-sht-ribbon-wax-57-mm-h-74-m-vtulka-diametr-12-7-mm-0-5-dyujma-h-shirina-57-mm-krasyashij-sloj-naruzhu-out-363525-363525-/")</f>
        <v>/nabor-iz-6-sht-ribbon-wax-57-mm-h-74-m-vtulka-diametr-12-7-mm-0-5-dyujma-h-shirina-57-mm-krasyashij-sloj-naruzhu-out-363525-363525-/</v>
      </c>
    </row>
    <row r="58" customFormat="false" ht="35.05" hidden="false" customHeight="false" outlineLevel="0" collapsed="false">
      <c r="A58" s="5" t="n">
        <f aca="false">IFERROR(__xludf.dummyfunction("""COMPUTED_VALUE"""),498131)</f>
        <v>498131</v>
      </c>
      <c r="B58" s="9" t="str">
        <f aca="false">IFERROR(__xludf.dummyfunction("""COMPUTED_VALUE"""),"Набор из 6 шт, Ценники картонные ""Бабочка 10"" (128678)")</f>
        <v>Набор из 6 шт, Ценники картонные "Бабочка 10" (128678)</v>
      </c>
      <c r="C58" s="5" t="str">
        <f aca="false">IFERROR(__xludf.dummyfunction("""COMPUTED_VALUE"""),"В наличии 3")</f>
        <v>В наличии 3</v>
      </c>
      <c r="D58" s="5" t="n">
        <f aca="false">IFERROR(__xludf.dummyfunction("""COMPUTED_VALUE"""),636)</f>
        <v>636</v>
      </c>
      <c r="E58" s="7" t="str">
        <f aca="false">IFERROR(__xludf.dummyfunction("""COMPUTED_VALUE"""),"/nabor-iz-6-sht-cenniki-kartonnye-babochka-10-128678-/")</f>
        <v>/nabor-iz-6-sht-cenniki-kartonnye-babochka-10-128678-/</v>
      </c>
    </row>
    <row r="59" customFormat="false" ht="23.85" hidden="false" customHeight="false" outlineLevel="0" collapsed="false">
      <c r="A59" s="5" t="n">
        <f aca="false">IFERROR(__xludf.dummyfunction("""COMPUTED_VALUE"""),498132)</f>
        <v>498132</v>
      </c>
      <c r="B59" s="9" t="str">
        <f aca="false">IFERROR(__xludf.dummyfunction("""COMPUTED_VALUE"""),"Набор из 6 шт, Ценники картонные ""Бабочка 8"" (128679)")</f>
        <v>Набор из 6 шт, Ценники картонные "Бабочка 8" (128679)</v>
      </c>
      <c r="C59" s="5" t="str">
        <f aca="false">IFERROR(__xludf.dummyfunction("""COMPUTED_VALUE"""),"В наличии 31")</f>
        <v>В наличии 31</v>
      </c>
      <c r="D59" s="5" t="n">
        <f aca="false">IFERROR(__xludf.dummyfunction("""COMPUTED_VALUE"""),846)</f>
        <v>846</v>
      </c>
      <c r="E59" s="7" t="str">
        <f aca="false">IFERROR(__xludf.dummyfunction("""COMPUTED_VALUE"""),"/nabor-iz-6-sht-cenniki-kartonnye-babochka-8-128679-/")</f>
        <v>/nabor-iz-6-sht-cenniki-kartonnye-babochka-8-128679-/</v>
      </c>
    </row>
    <row r="60" customFormat="false" ht="68.65" hidden="false" customHeight="false" outlineLevel="0" collapsed="false">
      <c r="A60" s="5" t="n">
        <f aca="false">IFERROR(__xludf.dummyfunction("""COMPUTED_VALUE"""),503601)</f>
        <v>503601</v>
      </c>
      <c r="B60" s="9" t="str">
        <f aca="false">IFERROR(__xludf.dummyfunction("""COMPUTED_VALUE"""),"Набор из 7 шт, Этикетка термотрансферная ПОЛУГЛЯНЕЦ (30х20 мм), 2000 
этикеток в ролике, 52198 (111971)")</f>
        <v>Набор из 7 шт, Этикетка термотрансферная ПОЛУГЛЯНЕЦ (30х20 мм), 2000 
этикеток в ролике, 52198 (111971)</v>
      </c>
      <c r="C60" s="5" t="str">
        <f aca="false">IFERROR(__xludf.dummyfunction("""COMPUTED_VALUE"""),"В наличии 94")</f>
        <v>В наличии 94</v>
      </c>
      <c r="D60" s="5" t="n">
        <f aca="false">IFERROR(__xludf.dummyfunction("""COMPUTED_VALUE"""),1246)</f>
        <v>1246</v>
      </c>
      <c r="E60" s="7" t="str">
        <f aca="false">IFERROR(__xludf.dummyfunction("""COMPUTED_VALUE"""),"/nabor-iz-7-sht-tiketka-termotransfernaya-poluglyanec-30h20-mm-2000-tiketok-v-rolike-52198-111971-/")</f>
        <v>/nabor-iz-7-sht-tiketka-termotransfernaya-poluglyanec-30h20-mm-2000-tiketok-v-rolike-52198-111971-/</v>
      </c>
    </row>
    <row r="61" customFormat="false" ht="23.85" hidden="false" customHeight="false" outlineLevel="0" collapsed="false">
      <c r="A61" s="5" t="n">
        <f aca="false">IFERROR(__xludf.dummyfunction("""COMPUTED_VALUE"""),497243)</f>
        <v>497243</v>
      </c>
      <c r="B61" s="9" t="str">
        <f aca="false">IFERROR(__xludf.dummyfunction("""COMPUTED_VALUE"""),"Набор из 7 шт, Этикетка ТермоЭко (30х20 мм) (122067)")</f>
        <v>Набор из 7 шт, Этикетка ТермоЭко (30х20 мм) (122067)</v>
      </c>
      <c r="C61" s="5" t="str">
        <f aca="false">IFERROR(__xludf.dummyfunction("""COMPUTED_VALUE"""),"В наличии 207")</f>
        <v>В наличии 207</v>
      </c>
      <c r="D61" s="5" t="n">
        <f aca="false">IFERROR(__xludf.dummyfunction("""COMPUTED_VALUE"""),1176)</f>
        <v>1176</v>
      </c>
      <c r="E61" s="7" t="str">
        <f aca="false">IFERROR(__xludf.dummyfunction("""COMPUTED_VALUE"""),"/nabor-iz-7-sht-tiketka-termo-ko-30h20-mm-122067-/")</f>
        <v>/nabor-iz-7-sht-tiketka-termo-ko-30h20-mm-122067-/</v>
      </c>
    </row>
    <row r="62" customFormat="false" ht="79.85" hidden="false" customHeight="false" outlineLevel="0" collapsed="false">
      <c r="A62" s="5" t="n">
        <f aca="false">IFERROR(__xludf.dummyfunction("""COMPUTED_VALUE"""),507133)</f>
        <v>507133</v>
      </c>
      <c r="B62" s="9" t="str">
        <f aca="false">IFERROR(__xludf.dummyfunction("""COMPUTED_VALUE"""),"Набор из 7 шт, Этикетка ТермоЭко (30х20 мм), для термопринтера и весов, 
2000 этикеток в ролике, прозрачная подложка, светостойкость до 2 месяцев, 
54235 114500")</f>
        <v>Набор из 7 шт, Этикетка ТермоЭко (30х20 мм), для термопринтера и весов, 
2000 этикеток в ролике, прозрачная подложка, светостойкость до 2 месяцев, 
54235 114500</v>
      </c>
      <c r="C62" s="5" t="str">
        <f aca="false">IFERROR(__xludf.dummyfunction("""COMPUTED_VALUE"""),"В наличии 117")</f>
        <v>В наличии 117</v>
      </c>
      <c r="D62" s="5" t="n">
        <f aca="false">IFERROR(__xludf.dummyfunction("""COMPUTED_VALUE"""),1155)</f>
        <v>1155</v>
      </c>
      <c r="E62" s="7" t="str">
        <f aca="false">IFERROR(__xludf.dummyfunction("""COMPUTED_VALUE"""),"/nabor-iz-7-sht-tiketka-termo-ko-30h20-mm-dlya-termoprintera-i-vesov-2000-tiketok-v-rolike-prozrachnaya-podlozhka-svetostojkost-do-2-mesyacev-54235-114500/")</f>
        <v>/nabor-iz-7-sht-tiketka-termo-ko-30h20-mm-dlya-termoprintera-i-vesov-2000-tiketok-v-rolike-prozrachnaya-podlozhka-svetostojkost-do-2-mesyacev-54235-114500/</v>
      </c>
    </row>
    <row r="63" customFormat="false" ht="23.85" hidden="false" customHeight="false" outlineLevel="0" collapsed="false">
      <c r="A63" s="5" t="n">
        <f aca="false">IFERROR(__xludf.dummyfunction("""COMPUTED_VALUE"""),497883)</f>
        <v>497883</v>
      </c>
      <c r="B63" s="9" t="str">
        <f aca="false">IFERROR(__xludf.dummyfunction("""COMPUTED_VALUE"""),"Набор из 8 шт, Этикетка ТермоТоп (58х40 мм) (126104)")</f>
        <v>Набор из 8 шт, Этикетка ТермоТоп (58х40 мм) (126104)</v>
      </c>
      <c r="C63" s="5" t="str">
        <f aca="false">IFERROR(__xludf.dummyfunction("""COMPUTED_VALUE"""),"В наличии 49")</f>
        <v>В наличии 49</v>
      </c>
      <c r="D63" s="5" t="n">
        <f aca="false">IFERROR(__xludf.dummyfunction("""COMPUTED_VALUE"""),2232)</f>
        <v>2232</v>
      </c>
      <c r="E63" s="7" t="str">
        <f aca="false">IFERROR(__xludf.dummyfunction("""COMPUTED_VALUE"""),"/nabor-iz-8-sht-tiketka-termotop-58h40-mm-126104-/")</f>
        <v>/nabor-iz-8-sht-tiketka-termotop-58h40-mm-126104-/</v>
      </c>
    </row>
    <row r="64" customFormat="false" ht="79.85" hidden="false" customHeight="false" outlineLevel="0" collapsed="false">
      <c r="A64" s="5" t="n">
        <f aca="false">IFERROR(__xludf.dummyfunction("""COMPUTED_VALUE"""),507132)</f>
        <v>507132</v>
      </c>
      <c r="B64" s="9" t="str">
        <f aca="false">IFERROR(__xludf.dummyfunction("""COMPUTED_VALUE"""),"Набор из 8 шт, Этикетка ТермоТоп (58х60 мм), для термопринтера и весов, 500 
этикеток в ролике, прозрачная подложка, светостойкость до 12 месяцев, 
126105, 54234 114499")</f>
        <v>Набор из 8 шт, Этикетка ТермоТоп (58х60 мм), для термопринтера и весов, 500 
этикеток в ролике, прозрачная подложка, светостойкость до 12 месяцев, 
126105, 54234 114499</v>
      </c>
      <c r="C64" s="5" t="str">
        <f aca="false">IFERROR(__xludf.dummyfunction("""COMPUTED_VALUE"""),"В наличии 171")</f>
        <v>В наличии 171</v>
      </c>
      <c r="D64" s="5" t="n">
        <f aca="false">IFERROR(__xludf.dummyfunction("""COMPUTED_VALUE"""),2304)</f>
        <v>2304</v>
      </c>
      <c r="E64" s="7" t="str">
        <f aca="false">IFERROR(__xludf.dummyfunction("""COMPUTED_VALUE"""),"/nabor-iz-8-sht-tiketka-termotop-58h60-mm-dlya-termoprintera-i-vesov-500-tiketok-v-rolike-prozrachnaya-podlozhka-svetostojkost-do-12-mesyacev-126105-54234-114499/")</f>
        <v>/nabor-iz-8-sht-tiketka-termotop-58h60-mm-dlya-termoprintera-i-vesov-500-tiketok-v-rolike-prozrachnaya-podlozhka-svetostojkost-do-12-mesyacev-126105-54234-114499/</v>
      </c>
    </row>
    <row r="65" customFormat="false" ht="57.45" hidden="false" customHeight="false" outlineLevel="0" collapsed="false">
      <c r="A65" s="5" t="n">
        <f aca="false">IFERROR(__xludf.dummyfunction("""COMPUTED_VALUE"""),503604)</f>
        <v>503604</v>
      </c>
      <c r="B65" s="9" t="str">
        <f aca="false">IFERROR(__xludf.dummyfunction("""COMPUTED_VALUE"""),"Набор из 8 шт, Этикетка термотрансферная ПОЛУГЛЯНЕЦ (58х40 мм), 700 
этикеток в ролике, 52201 (111974)")</f>
        <v>Набор из 8 шт, Этикетка термотрансферная ПОЛУГЛЯНЕЦ (58х40 мм), 700 
этикеток в ролике, 52201 (111974)</v>
      </c>
      <c r="C65" s="5" t="str">
        <f aca="false">IFERROR(__xludf.dummyfunction("""COMPUTED_VALUE"""),"В наличии 22")</f>
        <v>В наличии 22</v>
      </c>
      <c r="D65" s="5" t="n">
        <f aca="false">IFERROR(__xludf.dummyfunction("""COMPUTED_VALUE"""),1824)</f>
        <v>1824</v>
      </c>
      <c r="E65" s="7" t="str">
        <f aca="false">IFERROR(__xludf.dummyfunction("""COMPUTED_VALUE"""),"/nabor-iz-8-sht-tiketka-termotransfernaya-poluglyanec-58h40-mm-700-tiketok-v-rolike-52201-111974-/")</f>
        <v>/nabor-iz-8-sht-tiketka-termotransfernaya-poluglyanec-58h40-mm-700-tiketok-v-rolike-52201-111974-/</v>
      </c>
    </row>
    <row r="66" customFormat="false" ht="57.45" hidden="false" customHeight="false" outlineLevel="0" collapsed="false">
      <c r="A66" s="5" t="n">
        <f aca="false">IFERROR(__xludf.dummyfunction("""COMPUTED_VALUE"""),507095)</f>
        <v>507095</v>
      </c>
      <c r="B66" s="9" t="str">
        <f aca="false">IFERROR(__xludf.dummyfunction("""COMPUTED_VALUE"""),"Набор из 8 шт, Этикетка термотрансферная ПОЛУГЛЯНЕЦ (58х60 мм), 500 
этикеток в ролике, 111975, 54251 114515")</f>
        <v>Набор из 8 шт, Этикетка термотрансферная ПОЛУГЛЯНЕЦ (58х60 мм), 500 
этикеток в ролике, 111975, 54251 114515</v>
      </c>
      <c r="C66" s="5" t="str">
        <f aca="false">IFERROR(__xludf.dummyfunction("""COMPUTED_VALUE"""),"В наличии 61")</f>
        <v>В наличии 61</v>
      </c>
      <c r="D66" s="5" t="n">
        <f aca="false">IFERROR(__xludf.dummyfunction("""COMPUTED_VALUE"""),1664)</f>
        <v>1664</v>
      </c>
      <c r="E66" s="7" t="str">
        <f aca="false">IFERROR(__xludf.dummyfunction("""COMPUTED_VALUE"""),"/nabor-iz-8-sht-tiketka-termotransfernaya-poluglyanec-58h60-mm-500-tiketok-v-rolike-111975-54251-114515/")</f>
        <v>/nabor-iz-8-sht-tiketka-termotransfernaya-poluglyanec-58h60-mm-500-tiketok-v-rolike-111975-54251-114515/</v>
      </c>
    </row>
    <row r="67" customFormat="false" ht="57.45" hidden="false" customHeight="false" outlineLevel="0" collapsed="false">
      <c r="A67" s="5" t="n">
        <f aca="false">IFERROR(__xludf.dummyfunction("""COMPUTED_VALUE"""),503605)</f>
        <v>503605</v>
      </c>
      <c r="B67" s="9" t="str">
        <f aca="false">IFERROR(__xludf.dummyfunction("""COMPUTED_VALUE"""),"Набор из 8 шт, Этикетка термотрансферная ПОЛУГЛЯНЕЦ (58х60 мм), 500 
этикеток в ролике, 52202 (111975)")</f>
        <v>Набор из 8 шт, Этикетка термотрансферная ПОЛУГЛЯНЕЦ (58х60 мм), 500 
этикеток в ролике, 52202 (111975)</v>
      </c>
      <c r="C67" s="5" t="str">
        <f aca="false">IFERROR(__xludf.dummyfunction("""COMPUTED_VALUE"""),"В наличии 63")</f>
        <v>В наличии 63</v>
      </c>
      <c r="D67" s="5" t="n">
        <f aca="false">IFERROR(__xludf.dummyfunction("""COMPUTED_VALUE"""),1880)</f>
        <v>1880</v>
      </c>
      <c r="E67" s="7" t="str">
        <f aca="false">IFERROR(__xludf.dummyfunction("""COMPUTED_VALUE"""),"/nabor-iz-8-sht-tiketka-termotransfernaya-poluglyanec-58h60-mm-500-tiketok-v-rolike-52202-111975-/")</f>
        <v>/nabor-iz-8-sht-tiketka-termotransfernaya-poluglyanec-58h60-mm-500-tiketok-v-rolike-52202-111975-/</v>
      </c>
    </row>
    <row r="68" customFormat="false" ht="23.85" hidden="false" customHeight="false" outlineLevel="0" collapsed="false">
      <c r="A68" s="5" t="n">
        <f aca="false">IFERROR(__xludf.dummyfunction("""COMPUTED_VALUE"""),497236)</f>
        <v>497236</v>
      </c>
      <c r="B68" s="9" t="str">
        <f aca="false">IFERROR(__xludf.dummyfunction("""COMPUTED_VALUE"""),"Набор из 8 шт, Этикетка ТермоЭко (58х30 мм) (122065)")</f>
        <v>Набор из 8 шт, Этикетка ТермоЭко (58х30 мм) (122065)</v>
      </c>
      <c r="C68" s="5" t="str">
        <f aca="false">IFERROR(__xludf.dummyfunction("""COMPUTED_VALUE"""),"В наличии 5")</f>
        <v>В наличии 5</v>
      </c>
      <c r="D68" s="5" t="n">
        <f aca="false">IFERROR(__xludf.dummyfunction("""COMPUTED_VALUE"""),1808)</f>
        <v>1808</v>
      </c>
      <c r="E68" s="7" t="str">
        <f aca="false">IFERROR(__xludf.dummyfunction("""COMPUTED_VALUE"""),"/nabor-iz-8-sht-tiketka-termo-ko-58h30-mm-122065-/")</f>
        <v>/nabor-iz-8-sht-tiketka-termo-ko-58h30-mm-122065-/</v>
      </c>
    </row>
    <row r="69" customFormat="false" ht="23.85" hidden="false" customHeight="false" outlineLevel="0" collapsed="false">
      <c r="A69" s="5" t="n">
        <f aca="false">IFERROR(__xludf.dummyfunction("""COMPUTED_VALUE"""),498133)</f>
        <v>498133</v>
      </c>
      <c r="B69" s="9" t="str">
        <f aca="false">IFERROR(__xludf.dummyfunction("""COMPUTED_VALUE"""),"Набор из 9 шт, Ценники картонные ""Бабочка 5"" (128680)")</f>
        <v>Набор из 9 шт, Ценники картонные "Бабочка 5" (128680)</v>
      </c>
      <c r="C69" s="5" t="str">
        <f aca="false">IFERROR(__xludf.dummyfunction("""COMPUTED_VALUE"""),"В наличии 91")</f>
        <v>В наличии 91</v>
      </c>
      <c r="D69" s="5" t="n">
        <f aca="false">IFERROR(__xludf.dummyfunction("""COMPUTED_VALUE"""),1260)</f>
        <v>1260</v>
      </c>
      <c r="E69" s="7" t="str">
        <f aca="false">IFERROR(__xludf.dummyfunction("""COMPUTED_VALUE"""),"/nabor-iz-9-sht-cenniki-kartonnye-babochka-5-128680-/")</f>
        <v>/nabor-iz-9-sht-cenniki-kartonnye-babochka-5-128680-/</v>
      </c>
    </row>
    <row r="70" customFormat="false" ht="35.05" hidden="false" customHeight="false" outlineLevel="0" collapsed="false">
      <c r="A70" s="5" t="n">
        <f aca="false">IFERROR(__xludf.dummyfunction("""COMPUTED_VALUE"""),372256)</f>
        <v>372256</v>
      </c>
      <c r="B70" s="9" t="str">
        <f aca="false">IFERROR(__xludf.dummyfunction("""COMPUTED_VALUE"""),"Риббон (красящая лента), 156 мм х 450 м, намотка OUT, WAX MILD, ALFA")</f>
        <v>Риббон (красящая лента), 156 мм х 450 м, намотка OUT, WAX MILD, ALFA</v>
      </c>
      <c r="C70" s="5" t="str">
        <f aca="false">IFERROR(__xludf.dummyfunction("""COMPUTED_VALUE"""),"В наличии 20")</f>
        <v>В наличии 20</v>
      </c>
      <c r="D70" s="5" t="n">
        <f aca="false">IFERROR(__xludf.dummyfunction("""COMPUTED_VALUE"""),699)</f>
        <v>699</v>
      </c>
      <c r="E70" s="7" t="str">
        <f aca="false">IFERROR(__xludf.dummyfunction("""COMPUTED_VALUE"""),"/ribbon-krasyashaya-lenta-156-mm-h-450-m-namotka-out-wax-mild-alfa/")</f>
        <v>/ribbon-krasyashaya-lenta-156-mm-h-450-m-namotka-out-wax-mild-alfa/</v>
      </c>
    </row>
    <row r="71" customFormat="false" ht="57.45" hidden="false" customHeight="false" outlineLevel="0" collapsed="false">
      <c r="A71" s="5" t="n">
        <f aca="false">IFERROR(__xludf.dummyfunction("""COMPUTED_VALUE"""),268543)</f>
        <v>268543</v>
      </c>
      <c r="B71" s="9" t="str">
        <f aca="false">IFERROR(__xludf.dummyfunction("""COMPUTED_VALUE"""),"Риббон RESIN, 110 мм х 300 м, диаметр втулки 25,4 мм (1 дюйм), красящий 
слой наружу (OUT), 363539 (363539)")</f>
        <v>Риббон RESIN, 110 мм х 300 м, диаметр втулки 25,4 мм (1 дюйм), красящий 
слой наружу (OUT), 363539 (363539)</v>
      </c>
      <c r="C71" s="5" t="str">
        <f aca="false">IFERROR(__xludf.dummyfunction("""COMPUTED_VALUE"""),"В наличии 40")</f>
        <v>В наличии 40</v>
      </c>
      <c r="D71" s="5" t="n">
        <f aca="false">IFERROR(__xludf.dummyfunction("""COMPUTED_VALUE"""),1943)</f>
        <v>1943</v>
      </c>
      <c r="E71" s="7" t="str">
        <f aca="false">IFERROR(__xludf.dummyfunction("""COMPUTED_VALUE"""),"/ribbon-resin-110-mm-h-300-m-diametr-vtulki-25-4-mm-1-dyujm-krasyashij-sloj-naruzhu-out-363539-363539-/")</f>
        <v>/ribbon-resin-110-mm-h-300-m-diametr-vtulki-25-4-mm-1-dyujm-krasyashij-sloj-naruzhu-out-363539-363539-/</v>
      </c>
    </row>
    <row r="72" customFormat="false" ht="46.25" hidden="false" customHeight="false" outlineLevel="0" collapsed="false">
      <c r="A72" s="5" t="n">
        <f aca="false">IFERROR(__xludf.dummyfunction("""COMPUTED_VALUE"""),268539)</f>
        <v>268539</v>
      </c>
      <c r="B72" s="9" t="str">
        <f aca="false">IFERROR(__xludf.dummyfunction("""COMPUTED_VALUE"""),"Риббон RESIN, 40 мм х 300 м, диаметр втулки 25,4 мм (1 дюйм), красящий слой 
наружу (OUT), 363535 (363535)")</f>
        <v>Риббон RESIN, 40 мм х 300 м, диаметр втулки 25,4 мм (1 дюйм), красящий слой 
наружу (OUT), 363535 (363535)</v>
      </c>
      <c r="C72" s="5" t="str">
        <f aca="false">IFERROR(__xludf.dummyfunction("""COMPUTED_VALUE"""),"В наличии 20")</f>
        <v>В наличии 20</v>
      </c>
      <c r="D72" s="5" t="n">
        <f aca="false">IFERROR(__xludf.dummyfunction("""COMPUTED_VALUE"""),707)</f>
        <v>707</v>
      </c>
      <c r="E72" s="7" t="str">
        <f aca="false">IFERROR(__xludf.dummyfunction("""COMPUTED_VALUE"""),"/ribbon-resin-40-mm-h-300-m-diametr-vtulki-25-4-mm-1-dyujm-krasyashij-sloj-naruzhu-out-363535-363535-/")</f>
        <v>/ribbon-resin-40-mm-h-300-m-diametr-vtulki-25-4-mm-1-dyujm-krasyashij-sloj-naruzhu-out-363535-363535-/</v>
      </c>
    </row>
    <row r="73" customFormat="false" ht="57.45" hidden="false" customHeight="false" outlineLevel="0" collapsed="false">
      <c r="A73" s="5" t="n">
        <f aca="false">IFERROR(__xludf.dummyfunction("""COMPUTED_VALUE"""),268540)</f>
        <v>268540</v>
      </c>
      <c r="B73" s="9" t="str">
        <f aca="false">IFERROR(__xludf.dummyfunction("""COMPUTED_VALUE"""),"Риббон RESIN, 57 мм х 74 м, втулка диаметр 12,7 мм (0,5 дюйма) х ширина 57 
мм, красящий слой наружу (OUT), 363536 (363536)")</f>
        <v>Риббон RESIN, 57 мм х 74 м, втулка диаметр 12,7 мм (0,5 дюйма) х ширина 57 
мм, красящий слой наружу (OUT), 363536 (363536)</v>
      </c>
      <c r="C73" s="5" t="str">
        <f aca="false">IFERROR(__xludf.dummyfunction("""COMPUTED_VALUE"""),"В наличии 143")</f>
        <v>В наличии 143</v>
      </c>
      <c r="D73" s="5" t="n">
        <f aca="false">IFERROR(__xludf.dummyfunction("""COMPUTED_VALUE"""),261)</f>
        <v>261</v>
      </c>
      <c r="E73" s="7" t="str">
        <f aca="false">IFERROR(__xludf.dummyfunction("""COMPUTED_VALUE"""),"/ribbon-resin-57-mm-h-74-m-vtulka-diametr-12-7-mm-0-5-dyujma-h-shirina-57-mm-krasyashij-sloj-naruzhu-out-363536-363536-/")</f>
        <v>/ribbon-resin-57-mm-h-74-m-vtulka-diametr-12-7-mm-0-5-dyujma-h-shirina-57-mm-krasyashij-sloj-naruzhu-out-363536-363536-/</v>
      </c>
    </row>
    <row r="74" customFormat="false" ht="46.25" hidden="false" customHeight="false" outlineLevel="0" collapsed="false">
      <c r="A74" s="5" t="n">
        <f aca="false">IFERROR(__xludf.dummyfunction("IMPORTXML(getIdItems(""https://www.lustrof.ru/category/ofis/kanctovary/bumaga/ehtiketki-i-cenniki/?page="",3),""//span[@class='products__item-info-code-v']"")"),268541)</f>
        <v>268541</v>
      </c>
      <c r="B74" s="7" t="str">
        <f aca="false">IFERROR(__xludf.dummyfunction("IMPORTXML(getIdItems(""https://www.lustrof.ru/category/ofis/kanctovary/bumaga/ehtiketki-i-cenniki/?page="",3),""//span[@class='products__item-info-name']"")"),"Риббон RESIN, 60 мм х 300 м, диаметр втулки 25,4 мм (1 дюйм), красящий слой 
наружу (OUT), 363537 (363537)")</f>
        <v>Риббон RESIN, 60 мм х 300 м, диаметр втулки 25,4 мм (1 дюйм), красящий слой 
наружу (OUT), 363537 (363537)</v>
      </c>
      <c r="C74" s="5" t="str">
        <f aca="false">IFERROR(__xludf.dummyfunction("IMPORTXML(getIdItems(""https://www.lustrof.ru/category/ofis/kanctovary/bumaga/ehtiketki-i-cenniki/?page="",3),""//span[@class='products__available-in-stock']"")"),"В наличии 53")</f>
        <v>В наличии 53</v>
      </c>
      <c r="D74" s="5" t="n">
        <f aca="false">IFERROR(__xludf.dummyfunction("IMPORTXML(getIdItems(""https://www.lustrof.ru/category/ofis/kanctovary/bumaga/ehtiketki-i-cenniki/?page="",3),""//span[@class='products__price-new']/text()"")"),1060)</f>
        <v>1060</v>
      </c>
      <c r="E74" s="7" t="str">
        <f aca="false">IFERROR(__xludf.dummyfunction("IMPORTXML(getIdItems(""https://www.lustrof.ru/category/ofis/kanctovary/bumaga/ehtiketki-i-cenniki/?page="",3),""//div[@class='products__item']/a/@href"")"),"/ribbon-resin-60-mm-h-300-m-diametr-vtulki-25-4-mm-1-dyujm-krasyashij-sloj-naruzhu-out-363537-363537-/")</f>
        <v>/ribbon-resin-60-mm-h-300-m-diametr-vtulki-25-4-mm-1-dyujm-krasyashij-sloj-naruzhu-out-363537-363537-/</v>
      </c>
    </row>
    <row r="75" customFormat="false" ht="46.25" hidden="false" customHeight="false" outlineLevel="0" collapsed="false">
      <c r="A75" s="5" t="n">
        <f aca="false">IFERROR(__xludf.dummyfunction("""COMPUTED_VALUE"""),268532)</f>
        <v>268532</v>
      </c>
      <c r="B75" s="7" t="str">
        <f aca="false">IFERROR(__xludf.dummyfunction("""COMPUTED_VALUE"""),"Риббон WAX, 110 мм х 300 м, диаметр втулки 25,4 мм (1 дюйм), красящий слой 
наружу (OUT), 363528 (363528)")</f>
        <v>Риббон WAX, 110 мм х 300 м, диаметр втулки 25,4 мм (1 дюйм), красящий слой 
наружу (OUT), 363528 (363528)</v>
      </c>
      <c r="C75" s="5" t="str">
        <f aca="false">IFERROR(__xludf.dummyfunction("""COMPUTED_VALUE"""),"В наличии 98")</f>
        <v>В наличии 98</v>
      </c>
      <c r="D75" s="5" t="n">
        <f aca="false">IFERROR(__xludf.dummyfunction("""COMPUTED_VALUE"""),438)</f>
        <v>438</v>
      </c>
      <c r="E75" s="7" t="str">
        <f aca="false">IFERROR(__xludf.dummyfunction("""COMPUTED_VALUE"""),"/ribbon-wax-110-mm-h-300-m-diametr-vtulki-25-4-mm-1-dyujm-krasyashij-sloj-naruzhu-out-363528-363528-/")</f>
        <v>/ribbon-wax-110-mm-h-300-m-diametr-vtulki-25-4-mm-1-dyujm-krasyashij-sloj-naruzhu-out-363528-363528-/</v>
      </c>
    </row>
    <row r="76" customFormat="false" ht="46.25" hidden="false" customHeight="false" outlineLevel="0" collapsed="false">
      <c r="A76" s="5" t="n">
        <f aca="false">IFERROR(__xludf.dummyfunction("""COMPUTED_VALUE"""),268533)</f>
        <v>268533</v>
      </c>
      <c r="B76" s="7" t="str">
        <f aca="false">IFERROR(__xludf.dummyfunction("""COMPUTED_VALUE"""),"Риббон WAX, 110 мм х 450 м, диаметр втулки 25,4 мм (1 дюйм), красящий слой 
наружу (OUT), 363529 (363529)")</f>
        <v>Риббон WAX, 110 мм х 450 м, диаметр втулки 25,4 мм (1 дюйм), красящий слой 
наружу (OUT), 363529 (363529)</v>
      </c>
      <c r="C76" s="5" t="str">
        <f aca="false">IFERROR(__xludf.dummyfunction("""COMPUTED_VALUE"""),"В наличии 76")</f>
        <v>В наличии 76</v>
      </c>
      <c r="D76" s="5" t="n">
        <f aca="false">IFERROR(__xludf.dummyfunction("""COMPUTED_VALUE"""),657)</f>
        <v>657</v>
      </c>
      <c r="E76" s="7" t="str">
        <f aca="false">IFERROR(__xludf.dummyfunction("""COMPUTED_VALUE"""),"/ribbon-wax-110-mm-h-450-m-diametr-vtulki-25-4-mm-1-dyujm-krasyashij-sloj-naruzhu-out-363529-363529-/")</f>
        <v>/ribbon-wax-110-mm-h-450-m-diametr-vtulki-25-4-mm-1-dyujm-krasyashij-sloj-naruzhu-out-363529-363529-/</v>
      </c>
    </row>
    <row r="77" customFormat="false" ht="46.25" hidden="false" customHeight="false" outlineLevel="0" collapsed="false">
      <c r="A77" s="5" t="n">
        <f aca="false">IFERROR(__xludf.dummyfunction("""COMPUTED_VALUE"""),268528)</f>
        <v>268528</v>
      </c>
      <c r="B77" s="7" t="str">
        <f aca="false">IFERROR(__xludf.dummyfunction("""COMPUTED_VALUE"""),"Риббон WAX, 40 мм х 300 м, диаметр втулки 25,4 мм (1 дюйм), красящий слой 
наружу OUT, 363524 (363524)")</f>
        <v>Риббон WAX, 40 мм х 300 м, диаметр втулки 25,4 мм (1 дюйм), красящий слой 
наружу OUT, 363524 (363524)</v>
      </c>
      <c r="C77" s="5" t="str">
        <f aca="false">IFERROR(__xludf.dummyfunction("""COMPUTED_VALUE"""),"В наличии 268")</f>
        <v>В наличии 268</v>
      </c>
      <c r="D77" s="5" t="n">
        <f aca="false">IFERROR(__xludf.dummyfunction("""COMPUTED_VALUE"""),159)</f>
        <v>159</v>
      </c>
      <c r="E77" s="7" t="str">
        <f aca="false">IFERROR(__xludf.dummyfunction("""COMPUTED_VALUE"""),"/ribbon-wax-40-mm-h-300-m-diametr-vtulki-25-4-mm-1-dyujm-krasyashij-sloj-naruzhu-out-363524-363524-/")</f>
        <v>/ribbon-wax-40-mm-h-300-m-diametr-vtulki-25-4-mm-1-dyujm-krasyashij-sloj-naruzhu-out-363524-363524-/</v>
      </c>
    </row>
    <row r="78" customFormat="false" ht="46.25" hidden="false" customHeight="false" outlineLevel="0" collapsed="false">
      <c r="A78" s="5" t="n">
        <f aca="false">IFERROR(__xludf.dummyfunction("""COMPUTED_VALUE"""),268530)</f>
        <v>268530</v>
      </c>
      <c r="B78" s="7" t="str">
        <f aca="false">IFERROR(__xludf.dummyfunction("""COMPUTED_VALUE"""),"Риббон WAX, 60 мм х 300 м, диаметр втулки 25,4 мм (1 дюйм), красящий слой 
наружу (OUT), 363526 (363526)")</f>
        <v>Риббон WAX, 60 мм х 300 м, диаметр втулки 25,4 мм (1 дюйм), красящий слой 
наружу (OUT), 363526 (363526)</v>
      </c>
      <c r="C78" s="5" t="str">
        <f aca="false">IFERROR(__xludf.dummyfunction("""COMPUTED_VALUE"""),"В наличии 392")</f>
        <v>В наличии 392</v>
      </c>
      <c r="D78" s="5" t="n">
        <f aca="false">IFERROR(__xludf.dummyfunction("""COMPUTED_VALUE"""),239)</f>
        <v>239</v>
      </c>
      <c r="E78" s="7" t="str">
        <f aca="false">IFERROR(__xludf.dummyfunction("""COMPUTED_VALUE"""),"/ribbon-wax-60-mm-h-300-m-diametr-vtulki-25-4-mm-1-dyujm-krasyashij-sloj-naruzhu-out-363526-363526-/")</f>
        <v>/ribbon-wax-60-mm-h-300-m-diametr-vtulki-25-4-mm-1-dyujm-krasyashij-sloj-naruzhu-out-363526-363526-/</v>
      </c>
    </row>
    <row r="79" customFormat="false" ht="57.45" hidden="false" customHeight="false" outlineLevel="0" collapsed="false">
      <c r="A79" s="5" t="n">
        <f aca="false">IFERROR(__xludf.dummyfunction("""COMPUTED_VALUE"""),268537)</f>
        <v>268537</v>
      </c>
      <c r="B79" s="7" t="str">
        <f aca="false">IFERROR(__xludf.dummyfunction("""COMPUTED_VALUE"""),"Риббон WAX/RESIN 110 мм х 74 м, втулка диаметр 12,7 мм (0,5 дюйма) х ширина 
110 мм, красящий слой наружу (OUT) 363533 (363533)")</f>
        <v>Риббон WAX/RESIN 110 мм х 74 м, втулка диаметр 12,7 мм (0,5 дюйма) х ширина 
110 мм, красящий слой наружу (OUT) 363533 (363533)</v>
      </c>
      <c r="C79" s="5" t="str">
        <f aca="false">IFERROR(__xludf.dummyfunction("""COMPUTED_VALUE"""),"В наличии 32")</f>
        <v>В наличии 32</v>
      </c>
      <c r="D79" s="5" t="n">
        <f aca="false">IFERROR(__xludf.dummyfunction("""COMPUTED_VALUE"""),267)</f>
        <v>267</v>
      </c>
      <c r="E79" s="7" t="str">
        <f aca="false">IFERROR(__xludf.dummyfunction("""COMPUTED_VALUE"""),"/ribbon-wax-resin-110-mm-h-74-m-vtulka-diametr-12-7-mm-0-5-dyujma-h-shirina-110-mm-krasyashij-sloj-naruzhu-out-363533-363533-/")</f>
        <v>/ribbon-wax-resin-110-mm-h-74-m-vtulka-diametr-12-7-mm-0-5-dyujma-h-shirina-110-mm-krasyashij-sloj-naruzhu-out-363533-363533-/</v>
      </c>
    </row>
    <row r="80" customFormat="false" ht="57.45" hidden="false" customHeight="false" outlineLevel="0" collapsed="false">
      <c r="A80" s="5" t="n">
        <f aca="false">IFERROR(__xludf.dummyfunction("""COMPUTED_VALUE"""),268538)</f>
        <v>268538</v>
      </c>
      <c r="B80" s="7" t="str">
        <f aca="false">IFERROR(__xludf.dummyfunction("""COMPUTED_VALUE"""),"Риббон WAX/RESIN, 110 мм х 300 м, диаметр втулки 25,4 мм (1 дюйм), красящий 
слой наружу (OUT), 363534 (363534)")</f>
        <v>Риббон WAX/RESIN, 110 мм х 300 м, диаметр втулки 25,4 мм (1 дюйм), красящий 
слой наружу (OUT), 363534 (363534)</v>
      </c>
      <c r="C80" s="5" t="str">
        <f aca="false">IFERROR(__xludf.dummyfunction("""COMPUTED_VALUE"""),"В наличии 206")</f>
        <v>В наличии 206</v>
      </c>
      <c r="D80" s="5" t="n">
        <f aca="false">IFERROR(__xludf.dummyfunction("""COMPUTED_VALUE"""),982)</f>
        <v>982</v>
      </c>
      <c r="E80" s="7" t="str">
        <f aca="false">IFERROR(__xludf.dummyfunction("""COMPUTED_VALUE"""),"/ribbon-wax-resin-110-mm-h-300-m-diametr-vtulki-25-4-mm-1-dyujm-krasyashij-sloj-naruzhu-out-363534-363534-/")</f>
        <v>/ribbon-wax-resin-110-mm-h-300-m-diametr-vtulki-25-4-mm-1-dyujm-krasyashij-sloj-naruzhu-out-363534-363534-/</v>
      </c>
    </row>
    <row r="81" customFormat="false" ht="57.45" hidden="false" customHeight="false" outlineLevel="0" collapsed="false">
      <c r="A81" s="5" t="n">
        <f aca="false">IFERROR(__xludf.dummyfunction("""COMPUTED_VALUE"""),268534)</f>
        <v>268534</v>
      </c>
      <c r="B81" s="7" t="str">
        <f aca="false">IFERROR(__xludf.dummyfunction("""COMPUTED_VALUE"""),"Риббон WAX/RESIN, 40 мм х 300 м, диаметр втулки 25,4 мм (1 дюйм), красящий 
слой наружу (OUT), 363530 (363530)")</f>
        <v>Риббон WAX/RESIN, 40 мм х 300 м, диаметр втулки 25,4 мм (1 дюйм), красящий 
слой наружу (OUT), 363530 (363530)</v>
      </c>
      <c r="C81" s="5" t="str">
        <f aca="false">IFERROR(__xludf.dummyfunction("""COMPUTED_VALUE"""),"В наличии 131")</f>
        <v>В наличии 131</v>
      </c>
      <c r="D81" s="5" t="n">
        <f aca="false">IFERROR(__xludf.dummyfunction("""COMPUTED_VALUE"""),357)</f>
        <v>357</v>
      </c>
      <c r="E81" s="7" t="str">
        <f aca="false">IFERROR(__xludf.dummyfunction("""COMPUTED_VALUE"""),"/ribbon-wax-resin-40-mm-h-300-m-diametr-vtulki-25-4-mm-1-dyujm-krasyashij-sloj-naruzhu-out-363530-363530-/")</f>
        <v>/ribbon-wax-resin-40-mm-h-300-m-diametr-vtulki-25-4-mm-1-dyujm-krasyashij-sloj-naruzhu-out-363530-363530-/</v>
      </c>
    </row>
    <row r="82" customFormat="false" ht="57.45" hidden="false" customHeight="false" outlineLevel="0" collapsed="false">
      <c r="A82" s="5" t="n">
        <f aca="false">IFERROR(__xludf.dummyfunction("""COMPUTED_VALUE"""),268535)</f>
        <v>268535</v>
      </c>
      <c r="B82" s="7" t="str">
        <f aca="false">IFERROR(__xludf.dummyfunction("""COMPUTED_VALUE"""),"Риббон WAX/RESIN, 57 мм х 74 м, втулка диаметр 12,7 мм (0,5 дюйма) х ширина 
57 мм, красящий слой наружу (OUT), 363531 (363531)")</f>
        <v>Риббон WAX/RESIN, 57 мм х 74 м, втулка диаметр 12,7 мм (0,5 дюйма) х ширина 
57 мм, красящий слой наружу (OUT), 363531 (363531)</v>
      </c>
      <c r="C82" s="5" t="str">
        <f aca="false">IFERROR(__xludf.dummyfunction("""COMPUTED_VALUE"""),"В наличии 361")</f>
        <v>В наличии 361</v>
      </c>
      <c r="D82" s="5" t="n">
        <f aca="false">IFERROR(__xludf.dummyfunction("""COMPUTED_VALUE"""),138)</f>
        <v>138</v>
      </c>
      <c r="E82" s="7" t="str">
        <f aca="false">IFERROR(__xludf.dummyfunction("""COMPUTED_VALUE"""),"/ribbon-wax-resin-57-mm-h-74-m-vtulka-diametr-12-7-mm-0-5-dyujma-h-shirina-57-mm-krasyashij-sloj-naruzhu-out-363531-363531-/")</f>
        <v>/ribbon-wax-resin-57-mm-h-74-m-vtulka-diametr-12-7-mm-0-5-dyujma-h-shirina-57-mm-krasyashij-sloj-naruzhu-out-363531-363531-/</v>
      </c>
    </row>
    <row r="83" customFormat="false" ht="57.45" hidden="false" customHeight="false" outlineLevel="0" collapsed="false">
      <c r="A83" s="5" t="n">
        <f aca="false">IFERROR(__xludf.dummyfunction("""COMPUTED_VALUE"""),268536)</f>
        <v>268536</v>
      </c>
      <c r="B83" s="7" t="str">
        <f aca="false">IFERROR(__xludf.dummyfunction("""COMPUTED_VALUE"""),"Риббон WAX/RESIN, 60 мм х 300 м, диаметр втулки 25,4 мм (1 дюйм), красящий 
слой наружу (OUT), 363532 (363532)")</f>
        <v>Риббон WAX/RESIN, 60 мм х 300 м, диаметр втулки 25,4 мм (1 дюйм), красящий 
слой наружу (OUT), 363532 (363532)</v>
      </c>
      <c r="C83" s="5" t="str">
        <f aca="false">IFERROR(__xludf.dummyfunction("""COMPUTED_VALUE"""),"В наличии 253")</f>
        <v>В наличии 253</v>
      </c>
      <c r="D83" s="5" t="n">
        <f aca="false">IFERROR(__xludf.dummyfunction("""COMPUTED_VALUE"""),535)</f>
        <v>535</v>
      </c>
      <c r="E83" s="7" t="str">
        <f aca="false">IFERROR(__xludf.dummyfunction("""COMPUTED_VALUE"""),"/ribbon-wax-resin-60-mm-h-300-m-diametr-vtulki-25-4-mm-1-dyujm-krasyashij-sloj-naruzhu-out-363532-363532-/")</f>
        <v>/ribbon-wax-resin-60-mm-h-300-m-diametr-vtulki-25-4-mm-1-dyujm-krasyashij-sloj-naruzhu-out-363532-363532-/</v>
      </c>
    </row>
    <row r="84" customFormat="false" ht="46.25" hidden="false" customHeight="false" outlineLevel="0" collapsed="false">
      <c r="A84" s="5" t="n">
        <f aca="false">IFERROR(__xludf.dummyfunction("""COMPUTED_VALUE"""),287212)</f>
        <v>287212</v>
      </c>
      <c r="B84" s="7" t="str">
        <f aca="false">IFERROR(__xludf.dummyfunction("""COMPUTED_VALUE"""),"Ценник большой ""Цена"" 50х40 мм белый, самоклеящийся, КОМПЛЕКТ 5 рулонов по 
200 шт., BRAUBERG, 112357")</f>
        <v>Ценник большой "Цена" 50х40 мм белый, самоклеящийся, КОМПЛЕКТ 5 рулонов по 
200 шт., BRAUBERG, 112357</v>
      </c>
      <c r="C84" s="5" t="str">
        <f aca="false">IFERROR(__xludf.dummyfunction("""COMPUTED_VALUE"""),"В наличии 2182")</f>
        <v>В наличии 2182</v>
      </c>
      <c r="D84" s="5" t="n">
        <f aca="false">IFERROR(__xludf.dummyfunction("""COMPUTED_VALUE"""),228)</f>
        <v>228</v>
      </c>
      <c r="E84" s="7" t="str">
        <f aca="false">IFERROR(__xludf.dummyfunction("""COMPUTED_VALUE"""),"/cennik-bolshoj-cena-50h40-mm-belyj-samokleyashijsya-komplekt-5-rulonov-po-200-sht-brauberg-112357/")</f>
        <v>/cennik-bolshoj-cena-50h40-mm-belyj-samokleyashijsya-komplekt-5-rulonov-po-200-sht-brauberg-112357/</v>
      </c>
    </row>
    <row r="85" customFormat="false" ht="46.25" hidden="false" customHeight="false" outlineLevel="0" collapsed="false">
      <c r="A85" s="5" t="n">
        <f aca="false">IFERROR(__xludf.dummyfunction("""COMPUTED_VALUE"""),287213)</f>
        <v>287213</v>
      </c>
      <c r="B85" s="7" t="str">
        <f aca="false">IFERROR(__xludf.dummyfunction("""COMPUTED_VALUE"""),"Ценник большой ""Цена"" 50х40 мм желтый, самоклеящийся, КОМПЛЕКТ 5 рулонов по 
200 шт., BRAUBERG, 112358")</f>
        <v>Ценник большой "Цена" 50х40 мм желтый, самоклеящийся, КОМПЛЕКТ 5 рулонов по 
200 шт., BRAUBERG, 112358</v>
      </c>
      <c r="C85" s="5" t="str">
        <f aca="false">IFERROR(__xludf.dummyfunction("""COMPUTED_VALUE"""),"В наличии 4411")</f>
        <v>В наличии 4411</v>
      </c>
      <c r="D85" s="5" t="n">
        <f aca="false">IFERROR(__xludf.dummyfunction("""COMPUTED_VALUE"""),367)</f>
        <v>367</v>
      </c>
      <c r="E85" s="7" t="str">
        <f aca="false">IFERROR(__xludf.dummyfunction("""COMPUTED_VALUE"""),"/cennik-bolshoj-cena-50h40-mm-zheltyj-samokleyashijsya-komplekt-5-rulonov-po-200-sht-brauberg-112358/")</f>
        <v>/cennik-bolshoj-cena-50h40-mm-zheltyj-samokleyashijsya-komplekt-5-rulonov-po-200-sht-brauberg-112358/</v>
      </c>
    </row>
    <row r="86" customFormat="false" ht="57.45" hidden="false" customHeight="false" outlineLevel="0" collapsed="false">
      <c r="A86" s="5" t="n">
        <f aca="false">IFERROR(__xludf.dummyfunction("""COMPUTED_VALUE"""),287214)</f>
        <v>287214</v>
      </c>
      <c r="B86" s="7" t="str">
        <f aca="false">IFERROR(__xludf.dummyfunction("""COMPUTED_VALUE"""),"Ценник большой ""Цена"" 50х40 мм зеленый, самоклеящийся, КОМПЛЕКТ 5 рулонов 
по 200 шт., BRAUBERG, 112359")</f>
        <v>Ценник большой "Цена" 50х40 мм зеленый, самоклеящийся, КОМПЛЕКТ 5 рулонов 
по 200 шт., BRAUBERG, 112359</v>
      </c>
      <c r="C86" s="5" t="str">
        <f aca="false">IFERROR(__xludf.dummyfunction("""COMPUTED_VALUE"""),"В наличии 3572")</f>
        <v>В наличии 3572</v>
      </c>
      <c r="D86" s="5" t="n">
        <f aca="false">IFERROR(__xludf.dummyfunction("""COMPUTED_VALUE"""),367)</f>
        <v>367</v>
      </c>
      <c r="E86" s="7" t="str">
        <f aca="false">IFERROR(__xludf.dummyfunction("""COMPUTED_VALUE"""),"/cennik-bolshoj-cena-50h40-mm-zelenyj-samokleyashijsya-komplekt-5-rulonov-po-200-sht-brauberg-112359/")</f>
        <v>/cennik-bolshoj-cena-50h40-mm-zelenyj-samokleyashijsya-komplekt-5-rulonov-po-200-sht-brauberg-112359/</v>
      </c>
    </row>
    <row r="87" customFormat="false" ht="57.45" hidden="false" customHeight="false" outlineLevel="0" collapsed="false">
      <c r="A87" s="5" t="n">
        <f aca="false">IFERROR(__xludf.dummyfunction("""COMPUTED_VALUE"""),287215)</f>
        <v>287215</v>
      </c>
      <c r="B87" s="7" t="str">
        <f aca="false">IFERROR(__xludf.dummyfunction("""COMPUTED_VALUE"""),"Ценник большой ""Цена"" 50х40 мм оранжевый самоклеящийся, КОМПЛЕКТ 5 рулонов 
по 200 шт., BRAUBERG, 112360")</f>
        <v>Ценник большой "Цена" 50х40 мм оранжевый самоклеящийся, КОМПЛЕКТ 5 рулонов 
по 200 шт., BRAUBERG, 112360</v>
      </c>
      <c r="C87" s="5" t="str">
        <f aca="false">IFERROR(__xludf.dummyfunction("""COMPUTED_VALUE"""),"В наличии 2939")</f>
        <v>В наличии 2939</v>
      </c>
      <c r="D87" s="5" t="n">
        <f aca="false">IFERROR(__xludf.dummyfunction("""COMPUTED_VALUE"""),306)</f>
        <v>306</v>
      </c>
      <c r="E87" s="7" t="str">
        <f aca="false">IFERROR(__xludf.dummyfunction("""COMPUTED_VALUE"""),"/cennik-bolshoj-cena-50h40-mm-oranzhevyj-samokleyashijsya-komplekt-5-rulonov-po-200-sht-brauberg-112360/")</f>
        <v>/cennik-bolshoj-cena-50h40-mm-oranzhevyj-samokleyashijsya-komplekt-5-rulonov-po-200-sht-brauberg-112360/</v>
      </c>
    </row>
    <row r="88" customFormat="false" ht="46.25" hidden="false" customHeight="false" outlineLevel="0" collapsed="false">
      <c r="A88" s="5" t="n">
        <f aca="false">IFERROR(__xludf.dummyfunction("""COMPUTED_VALUE"""),287217)</f>
        <v>287217</v>
      </c>
      <c r="B88" s="7" t="str">
        <f aca="false">IFERROR(__xludf.dummyfunction("""COMPUTED_VALUE"""),"Ценник средний ""Цена"" 35х25 мм белый, самоклеящийся, КОМПЛЕКТ 5 рулонов по 
250 шт., BRAUBERG, 112362")</f>
        <v>Ценник средний "Цена" 35х25 мм белый, самоклеящийся, КОМПЛЕКТ 5 рулонов по 
250 шт., BRAUBERG, 112362</v>
      </c>
      <c r="C88" s="5" t="str">
        <f aca="false">IFERROR(__xludf.dummyfunction("""COMPUTED_VALUE"""),"В наличии 1485")</f>
        <v>В наличии 1485</v>
      </c>
      <c r="D88" s="5" t="n">
        <f aca="false">IFERROR(__xludf.dummyfunction("""COMPUTED_VALUE"""),196)</f>
        <v>196</v>
      </c>
      <c r="E88" s="7" t="str">
        <f aca="false">IFERROR(__xludf.dummyfunction("""COMPUTED_VALUE"""),"/cennik-srednij-cena-35h25-mm-belyj-samokleyashijsya-komplekt-5-rulonov-po-250-sht-brauberg-112362/")</f>
        <v>/cennik-srednij-cena-35h25-mm-belyj-samokleyashijsya-komplekt-5-rulonov-po-250-sht-brauberg-112362/</v>
      </c>
    </row>
    <row r="89" customFormat="false" ht="13.8" hidden="false" customHeight="false" outlineLevel="0" collapsed="false">
      <c r="A89" s="5" t="n">
        <f aca="false">IFERROR(__xludf.dummyfunction("""COMPUTED_VALUE"""),199444)</f>
        <v>199444</v>
      </c>
      <c r="B89" s="7" t="str">
        <f aca="false">IFERROR(__xludf.dummyfunction("""COMPUTED_VALUE"""),"Этикет-лента ""Цена"" (123584)")</f>
        <v>Этикет-лента "Цена" (123584)</v>
      </c>
      <c r="C89" s="5" t="str">
        <f aca="false">IFERROR(__xludf.dummyfunction("""COMPUTED_VALUE"""),"В наличии 4666")</f>
        <v>В наличии 4666</v>
      </c>
      <c r="D89" s="5" t="n">
        <f aca="false">IFERROR(__xludf.dummyfunction("""COMPUTED_VALUE"""),229)</f>
        <v>229</v>
      </c>
      <c r="E89" s="7" t="str">
        <f aca="false">IFERROR(__xludf.dummyfunction("""COMPUTED_VALUE"""),"/-tiket-lenta-cena-123584-/")</f>
        <v>/-tiket-lenta-cena-123584-/</v>
      </c>
    </row>
    <row r="90" customFormat="false" ht="13.8" hidden="false" customHeight="false" outlineLevel="0" collapsed="false">
      <c r="A90" s="5" t="n">
        <f aca="false">IFERROR(__xludf.dummyfunction("""COMPUTED_VALUE"""),199445)</f>
        <v>199445</v>
      </c>
      <c r="B90" s="7" t="str">
        <f aca="false">IFERROR(__xludf.dummyfunction("""COMPUTED_VALUE"""),"Этикет-лента ""Цена"" (123585)")</f>
        <v>Этикет-лента "Цена" (123585)</v>
      </c>
      <c r="C90" s="5" t="str">
        <f aca="false">IFERROR(__xludf.dummyfunction("""COMPUTED_VALUE"""),"В наличии 759")</f>
        <v>В наличии 759</v>
      </c>
      <c r="D90" s="5" t="n">
        <f aca="false">IFERROR(__xludf.dummyfunction("""COMPUTED_VALUE"""),229)</f>
        <v>229</v>
      </c>
      <c r="E90" s="7" t="str">
        <f aca="false">IFERROR(__xludf.dummyfunction("""COMPUTED_VALUE"""),"/-tiket-lenta-cena-123585-/")</f>
        <v>/-tiket-lenta-cena-123585-/</v>
      </c>
    </row>
    <row r="91" customFormat="false" ht="13.8" hidden="false" customHeight="false" outlineLevel="0" collapsed="false">
      <c r="A91" s="5" t="n">
        <f aca="false">IFERROR(__xludf.dummyfunction("""COMPUTED_VALUE"""),199446)</f>
        <v>199446</v>
      </c>
      <c r="B91" s="7" t="str">
        <f aca="false">IFERROR(__xludf.dummyfunction("""COMPUTED_VALUE"""),"Этикет-лента ""Цена"" (123586)")</f>
        <v>Этикет-лента "Цена" (123586)</v>
      </c>
      <c r="C91" s="5" t="str">
        <f aca="false">IFERROR(__xludf.dummyfunction("""COMPUTED_VALUE"""),"В наличии 2618")</f>
        <v>В наличии 2618</v>
      </c>
      <c r="D91" s="5" t="n">
        <f aca="false">IFERROR(__xludf.dummyfunction("""COMPUTED_VALUE"""),229)</f>
        <v>229</v>
      </c>
      <c r="E91" s="7" t="str">
        <f aca="false">IFERROR(__xludf.dummyfunction("""COMPUTED_VALUE"""),"/-tiket-lenta-cena-123586-/")</f>
        <v>/-tiket-lenta-cena-123586-/</v>
      </c>
    </row>
    <row r="92" customFormat="false" ht="13.8" hidden="false" customHeight="false" outlineLevel="0" collapsed="false">
      <c r="A92" s="5" t="n">
        <f aca="false">IFERROR(__xludf.dummyfunction("""COMPUTED_VALUE"""),199447)</f>
        <v>199447</v>
      </c>
      <c r="B92" s="7" t="str">
        <f aca="false">IFERROR(__xludf.dummyfunction("""COMPUTED_VALUE"""),"Этикет-лента ""Цена"" (123587)")</f>
        <v>Этикет-лента "Цена" (123587)</v>
      </c>
      <c r="C92" s="5" t="str">
        <f aca="false">IFERROR(__xludf.dummyfunction("""COMPUTED_VALUE"""),"В наличии 5209")</f>
        <v>В наличии 5209</v>
      </c>
      <c r="D92" s="5" t="n">
        <f aca="false">IFERROR(__xludf.dummyfunction("""COMPUTED_VALUE"""),229)</f>
        <v>229</v>
      </c>
      <c r="E92" s="7" t="str">
        <f aca="false">IFERROR(__xludf.dummyfunction("""COMPUTED_VALUE"""),"/-tiket-lenta-cena-123587-/")</f>
        <v>/-tiket-lenta-cena-123587-/</v>
      </c>
    </row>
    <row r="93" customFormat="false" ht="13.8" hidden="false" customHeight="false" outlineLevel="0" collapsed="false">
      <c r="A93" s="5" t="n">
        <f aca="false">IFERROR(__xludf.dummyfunction("""COMPUTED_VALUE"""),199448)</f>
        <v>199448</v>
      </c>
      <c r="B93" s="7" t="str">
        <f aca="false">IFERROR(__xludf.dummyfunction("""COMPUTED_VALUE"""),"Этикет-лента ""Цена"" (123588)")</f>
        <v>Этикет-лента "Цена" (123588)</v>
      </c>
      <c r="C93" s="5" t="str">
        <f aca="false">IFERROR(__xludf.dummyfunction("""COMPUTED_VALUE"""),"В наличии 5676")</f>
        <v>В наличии 5676</v>
      </c>
      <c r="D93" s="5" t="n">
        <f aca="false">IFERROR(__xludf.dummyfunction("""COMPUTED_VALUE"""),174)</f>
        <v>174</v>
      </c>
      <c r="E93" s="7" t="str">
        <f aca="false">IFERROR(__xludf.dummyfunction("""COMPUTED_VALUE"""),"/-tiket-lenta-cena-123588-/")</f>
        <v>/-tiket-lenta-cena-123588-/</v>
      </c>
    </row>
    <row r="94" customFormat="false" ht="13.8" hidden="false" customHeight="false" outlineLevel="0" collapsed="false">
      <c r="A94" s="5" t="n">
        <f aca="false">IFERROR(__xludf.dummyfunction("""COMPUTED_VALUE"""),199449)</f>
        <v>199449</v>
      </c>
      <c r="B94" s="7" t="str">
        <f aca="false">IFERROR(__xludf.dummyfunction("""COMPUTED_VALUE"""),"Этикет-лента ""Цена"" (123589)")</f>
        <v>Этикет-лента "Цена" (123589)</v>
      </c>
      <c r="C94" s="5" t="str">
        <f aca="false">IFERROR(__xludf.dummyfunction("""COMPUTED_VALUE"""),"В наличии 389")</f>
        <v>В наличии 389</v>
      </c>
      <c r="D94" s="5" t="n">
        <f aca="false">IFERROR(__xludf.dummyfunction("""COMPUTED_VALUE"""),174)</f>
        <v>174</v>
      </c>
      <c r="E94" s="7" t="str">
        <f aca="false">IFERROR(__xludf.dummyfunction("""COMPUTED_VALUE"""),"/-tiket-lenta-cena-123589-/")</f>
        <v>/-tiket-lenta-cena-123589-/</v>
      </c>
    </row>
    <row r="95" customFormat="false" ht="13.8" hidden="false" customHeight="false" outlineLevel="0" collapsed="false">
      <c r="A95" s="5" t="n">
        <f aca="false">IFERROR(__xludf.dummyfunction("""COMPUTED_VALUE"""),199450)</f>
        <v>199450</v>
      </c>
      <c r="B95" s="7" t="str">
        <f aca="false">IFERROR(__xludf.dummyfunction("""COMPUTED_VALUE"""),"Этикет-лента ""Цена"" (123591)")</f>
        <v>Этикет-лента "Цена" (123591)</v>
      </c>
      <c r="C95" s="5" t="str">
        <f aca="false">IFERROR(__xludf.dummyfunction("""COMPUTED_VALUE"""),"В наличии 3596")</f>
        <v>В наличии 3596</v>
      </c>
      <c r="D95" s="5" t="n">
        <f aca="false">IFERROR(__xludf.dummyfunction("""COMPUTED_VALUE"""),174)</f>
        <v>174</v>
      </c>
      <c r="E95" s="7" t="str">
        <f aca="false">IFERROR(__xludf.dummyfunction("""COMPUTED_VALUE"""),"/-tiket-lenta-cena-123591-/")</f>
        <v>/-tiket-lenta-cena-123591-/</v>
      </c>
    </row>
    <row r="96" customFormat="false" ht="13.8" hidden="false" customHeight="false" outlineLevel="0" collapsed="false">
      <c r="A96" s="5" t="n">
        <f aca="false">IFERROR(__xludf.dummyfunction("""COMPUTED_VALUE"""),199430)</f>
        <v>199430</v>
      </c>
      <c r="B96" s="7" t="str">
        <f aca="false">IFERROR(__xludf.dummyfunction("""COMPUTED_VALUE"""),"Этикет-лента 21х12 мм (123570)")</f>
        <v>Этикет-лента 21х12 мм (123570)</v>
      </c>
      <c r="C96" s="5" t="str">
        <f aca="false">IFERROR(__xludf.dummyfunction("""COMPUTED_VALUE"""),"В наличии 794")</f>
        <v>В наличии 794</v>
      </c>
      <c r="D96" s="5" t="n">
        <f aca="false">IFERROR(__xludf.dummyfunction("""COMPUTED_VALUE"""),142)</f>
        <v>142</v>
      </c>
      <c r="E96" s="7" t="str">
        <f aca="false">IFERROR(__xludf.dummyfunction("""COMPUTED_VALUE"""),"/-tiket-lenta-21h12-mm-123570-/")</f>
        <v>/-tiket-lenta-21h12-mm-123570-/</v>
      </c>
    </row>
    <row r="97" customFormat="false" ht="13.8" hidden="false" customHeight="false" outlineLevel="0" collapsed="false">
      <c r="A97" s="5" t="n">
        <f aca="false">IFERROR(__xludf.dummyfunction("""COMPUTED_VALUE"""),199431)</f>
        <v>199431</v>
      </c>
      <c r="B97" s="7" t="str">
        <f aca="false">IFERROR(__xludf.dummyfunction("""COMPUTED_VALUE"""),"Этикет-лента 21х12 мм (123571)")</f>
        <v>Этикет-лента 21х12 мм (123571)</v>
      </c>
      <c r="C97" s="5" t="str">
        <f aca="false">IFERROR(__xludf.dummyfunction("""COMPUTED_VALUE"""),"В наличии 4995")</f>
        <v>В наличии 4995</v>
      </c>
      <c r="D97" s="5" t="n">
        <f aca="false">IFERROR(__xludf.dummyfunction("""COMPUTED_VALUE"""),142)</f>
        <v>142</v>
      </c>
      <c r="E97" s="7" t="str">
        <f aca="false">IFERROR(__xludf.dummyfunction("""COMPUTED_VALUE"""),"/-tiket-lenta-21h12-mm-123571-/")</f>
        <v>/-tiket-lenta-21h12-mm-123571-/</v>
      </c>
    </row>
    <row r="98" customFormat="false" ht="46.25" hidden="false" customHeight="false" outlineLevel="0" collapsed="false">
      <c r="A98" s="5" t="n">
        <f aca="false">IFERROR(__xludf.dummyfunction("""COMPUTED_VALUE"""),199429)</f>
        <v>199429</v>
      </c>
      <c r="B98" s="7" t="str">
        <f aca="false">IFERROR(__xludf.dummyfunction("""COMPUTED_VALUE"""),"Этикет-лента 21х12 мм, прямоугольная, желтая, комплект 5 рулонов по 600 
шт., BRAUBERG (123569)")</f>
        <v>Этикет-лента 21х12 мм, прямоугольная, желтая, комплект 5 рулонов по 600 
шт., BRAUBERG (123569)</v>
      </c>
      <c r="C98" s="5" t="str">
        <f aca="false">IFERROR(__xludf.dummyfunction("""COMPUTED_VALUE"""),"В наличии 6134")</f>
        <v>В наличии 6134</v>
      </c>
      <c r="D98" s="5" t="n">
        <f aca="false">IFERROR(__xludf.dummyfunction("""COMPUTED_VALUE"""),142)</f>
        <v>142</v>
      </c>
      <c r="E98" s="7" t="str">
        <f aca="false">IFERROR(__xludf.dummyfunction("""COMPUTED_VALUE"""),"/-tiket-lenta-21h12-mm-pryamougolnaya-zheltaya-komplekt-5-rulonov-po-600-sht-brauberg-123569-/")</f>
        <v>/-tiket-lenta-21h12-mm-pryamougolnaya-zheltaya-komplekt-5-rulonov-po-600-sht-brauberg-123569-/</v>
      </c>
    </row>
    <row r="99" customFormat="false" ht="13.8" hidden="false" customHeight="false" outlineLevel="0" collapsed="false">
      <c r="A99" s="5" t="n">
        <f aca="false">IFERROR(__xludf.dummyfunction("""COMPUTED_VALUE"""),199437)</f>
        <v>199437</v>
      </c>
      <c r="B99" s="7" t="str">
        <f aca="false">IFERROR(__xludf.dummyfunction("""COMPUTED_VALUE"""),"Этикет-лента 26х12 мм (123577)")</f>
        <v>Этикет-лента 26х12 мм (123577)</v>
      </c>
      <c r="C99" s="5" t="str">
        <f aca="false">IFERROR(__xludf.dummyfunction("""COMPUTED_VALUE"""),"В наличии 1176")</f>
        <v>В наличии 1176</v>
      </c>
      <c r="D99" s="5" t="n">
        <f aca="false">IFERROR(__xludf.dummyfunction("""COMPUTED_VALUE"""),234)</f>
        <v>234</v>
      </c>
      <c r="E99" s="7" t="str">
        <f aca="false">IFERROR(__xludf.dummyfunction("""COMPUTED_VALUE"""),"/-tiket-lenta-26h12-mm-123577-/")</f>
        <v>/-tiket-lenta-26h12-mm-123577-/</v>
      </c>
    </row>
    <row r="100" customFormat="false" ht="13.8" hidden="false" customHeight="false" outlineLevel="0" collapsed="false">
      <c r="A100" s="5" t="n">
        <f aca="false">IFERROR(__xludf.dummyfunction("""COMPUTED_VALUE"""),199438)</f>
        <v>199438</v>
      </c>
      <c r="B100" s="7" t="str">
        <f aca="false">IFERROR(__xludf.dummyfunction("""COMPUTED_VALUE"""),"Этикет-лента 26х12 мм (123578)")</f>
        <v>Этикет-лента 26х12 мм (123578)</v>
      </c>
      <c r="C100" s="5" t="str">
        <f aca="false">IFERROR(__xludf.dummyfunction("""COMPUTED_VALUE"""),"В наличии 181")</f>
        <v>В наличии 181</v>
      </c>
      <c r="D100" s="5" t="n">
        <f aca="false">IFERROR(__xludf.dummyfunction("""COMPUTED_VALUE"""),234)</f>
        <v>234</v>
      </c>
      <c r="E100" s="7" t="str">
        <f aca="false">IFERROR(__xludf.dummyfunction("""COMPUTED_VALUE"""),"/-tiket-lenta-26h12-mm-123578-/")</f>
        <v>/-tiket-lenta-26h12-mm-123578-/</v>
      </c>
    </row>
    <row r="101" customFormat="false" ht="13.8" hidden="false" customHeight="false" outlineLevel="0" collapsed="false">
      <c r="A101" s="5" t="n">
        <f aca="false">IFERROR(__xludf.dummyfunction("""COMPUTED_VALUE"""),199439)</f>
        <v>199439</v>
      </c>
      <c r="B101" s="7" t="str">
        <f aca="false">IFERROR(__xludf.dummyfunction("""COMPUTED_VALUE"""),"Этикет-лента 26х12 мм (123579)")</f>
        <v>Этикет-лента 26х12 мм (123579)</v>
      </c>
      <c r="C101" s="5" t="str">
        <f aca="false">IFERROR(__xludf.dummyfunction("""COMPUTED_VALUE"""),"В наличии 4214")</f>
        <v>В наличии 4214</v>
      </c>
      <c r="D101" s="5" t="n">
        <f aca="false">IFERROR(__xludf.dummyfunction("""COMPUTED_VALUE"""),234)</f>
        <v>234</v>
      </c>
      <c r="E101" s="7" t="str">
        <f aca="false">IFERROR(__xludf.dummyfunction("""COMPUTED_VALUE"""),"/-tiket-lenta-26h12-mm-123579-/")</f>
        <v>/-tiket-lenta-26h12-mm-123579-/</v>
      </c>
    </row>
    <row r="102" customFormat="false" ht="13.8" hidden="false" customHeight="false" outlineLevel="0" collapsed="false">
      <c r="A102" s="5" t="n">
        <f aca="false">IFERROR(__xludf.dummyfunction("""COMPUTED_VALUE"""),199440)</f>
        <v>199440</v>
      </c>
      <c r="B102" s="7" t="str">
        <f aca="false">IFERROR(__xludf.dummyfunction("""COMPUTED_VALUE"""),"Этикет-лента 26х16 мм (123580)")</f>
        <v>Этикет-лента 26х16 мм (123580)</v>
      </c>
      <c r="C102" s="5" t="str">
        <f aca="false">IFERROR(__xludf.dummyfunction("""COMPUTED_VALUE"""),"В наличии 10737")</f>
        <v>В наличии 10737</v>
      </c>
      <c r="D102" s="5" t="n">
        <f aca="false">IFERROR(__xludf.dummyfunction("""COMPUTED_VALUE"""),243)</f>
        <v>243</v>
      </c>
      <c r="E102" s="7" t="str">
        <f aca="false">IFERROR(__xludf.dummyfunction("""COMPUTED_VALUE"""),"/-tiket-lenta-26h16-mm-123580-/")</f>
        <v>/-tiket-lenta-26h16-mm-123580-/</v>
      </c>
    </row>
    <row r="103" customFormat="false" ht="13.8" hidden="false" customHeight="false" outlineLevel="0" collapsed="false">
      <c r="A103" s="5" t="n">
        <f aca="false">IFERROR(__xludf.dummyfunction("""COMPUTED_VALUE"""),199441)</f>
        <v>199441</v>
      </c>
      <c r="B103" s="7" t="str">
        <f aca="false">IFERROR(__xludf.dummyfunction("""COMPUTED_VALUE"""),"Этикет-лента 26х16 мм (123581)")</f>
        <v>Этикет-лента 26х16 мм (123581)</v>
      </c>
      <c r="C103" s="5" t="str">
        <f aca="false">IFERROR(__xludf.dummyfunction("""COMPUTED_VALUE"""),"В наличии 458")</f>
        <v>В наличии 458</v>
      </c>
      <c r="D103" s="5" t="n">
        <f aca="false">IFERROR(__xludf.dummyfunction("""COMPUTED_VALUE"""),295)</f>
        <v>295</v>
      </c>
      <c r="E103" s="7" t="str">
        <f aca="false">IFERROR(__xludf.dummyfunction("""COMPUTED_VALUE"""),"/-tiket-lenta-26h16-mm-123581-/")</f>
        <v>/-tiket-lenta-26h16-mm-123581-/</v>
      </c>
    </row>
    <row r="104" customFormat="false" ht="13.8" hidden="false" customHeight="false" outlineLevel="0" collapsed="false">
      <c r="A104" s="5" t="n">
        <f aca="false">IFERROR(__xludf.dummyfunction("""COMPUTED_VALUE"""),199442)</f>
        <v>199442</v>
      </c>
      <c r="B104" s="7" t="str">
        <f aca="false">IFERROR(__xludf.dummyfunction("""COMPUTED_VALUE"""),"Этикет-лента 26х16 мм (123582)")</f>
        <v>Этикет-лента 26х16 мм (123582)</v>
      </c>
      <c r="C104" s="5" t="str">
        <f aca="false">IFERROR(__xludf.dummyfunction("""COMPUTED_VALUE"""),"В наличии 36")</f>
        <v>В наличии 36</v>
      </c>
      <c r="D104" s="5" t="n">
        <f aca="false">IFERROR(__xludf.dummyfunction("""COMPUTED_VALUE"""),295)</f>
        <v>295</v>
      </c>
      <c r="E104" s="7" t="str">
        <f aca="false">IFERROR(__xludf.dummyfunction("""COMPUTED_VALUE"""),"/-tiket-lenta-26h16-mm-123582-/")</f>
        <v>/-tiket-lenta-26h16-mm-123582-/</v>
      </c>
    </row>
    <row r="105" customFormat="false" ht="13.8" hidden="false" customHeight="false" outlineLevel="0" collapsed="false">
      <c r="A105" s="5" t="n">
        <f aca="false">IFERROR(__xludf.dummyfunction("""COMPUTED_VALUE"""),199443)</f>
        <v>199443</v>
      </c>
      <c r="B105" s="7" t="str">
        <f aca="false">IFERROR(__xludf.dummyfunction("""COMPUTED_VALUE"""),"Этикет-лента 26х16 мм (123583)")</f>
        <v>Этикет-лента 26х16 мм (123583)</v>
      </c>
      <c r="C105" s="5" t="str">
        <f aca="false">IFERROR(__xludf.dummyfunction("""COMPUTED_VALUE"""),"В наличии 835")</f>
        <v>В наличии 835</v>
      </c>
      <c r="D105" s="5" t="n">
        <f aca="false">IFERROR(__xludf.dummyfunction("""COMPUTED_VALUE"""),295)</f>
        <v>295</v>
      </c>
      <c r="E105" s="7" t="str">
        <f aca="false">IFERROR(__xludf.dummyfunction("""COMPUTED_VALUE"""),"/-tiket-lenta-26h16-mm-123583-/")</f>
        <v>/-tiket-lenta-26h16-mm-123583-/</v>
      </c>
    </row>
    <row r="106" customFormat="false" ht="13.8" hidden="false" customHeight="false" outlineLevel="0" collapsed="false">
      <c r="A106" s="5" t="n">
        <f aca="false">IFERROR(__xludf.dummyfunction("""COMPUTED_VALUE"""),211434)</f>
        <v>211434</v>
      </c>
      <c r="B106" s="7" t="str">
        <f aca="false">IFERROR(__xludf.dummyfunction("""COMPUTED_VALUE"""),"Этикет-пистолет (290343)")</f>
        <v>Этикет-пистолет (290343)</v>
      </c>
      <c r="C106" s="5" t="str">
        <f aca="false">IFERROR(__xludf.dummyfunction("""COMPUTED_VALUE"""),"В наличии 13")</f>
        <v>В наличии 13</v>
      </c>
      <c r="D106" s="5" t="n">
        <f aca="false">IFERROR(__xludf.dummyfunction("""COMPUTED_VALUE"""),3670)</f>
        <v>3670</v>
      </c>
      <c r="E106" s="7" t="str">
        <f aca="false">IFERROR(__xludf.dummyfunction("""COMPUTED_VALUE"""),"/-tiket-pistolet-290343-/")</f>
        <v>/-tiket-pistolet-290343-/</v>
      </c>
    </row>
    <row r="107" customFormat="false" ht="23.85" hidden="false" customHeight="false" outlineLevel="0" collapsed="false">
      <c r="A107" s="5" t="n">
        <f aca="false">IFERROR(__xludf.dummyfunction("""COMPUTED_VALUE"""),211435)</f>
        <v>211435</v>
      </c>
      <c r="B107" s="7" t="str">
        <f aca="false">IFERROR(__xludf.dummyfunction("""COMPUTED_VALUE"""),"Этикет-пистолет 1-строчный (290344)")</f>
        <v>Этикет-пистолет 1-строчный (290344)</v>
      </c>
      <c r="C107" s="5" t="str">
        <f aca="false">IFERROR(__xludf.dummyfunction("""COMPUTED_VALUE"""),"В наличии 39")</f>
        <v>В наличии 39</v>
      </c>
      <c r="D107" s="5" t="n">
        <f aca="false">IFERROR(__xludf.dummyfunction("""COMPUTED_VALUE"""),4559)</f>
        <v>4559</v>
      </c>
      <c r="E107" s="7" t="str">
        <f aca="false">IFERROR(__xludf.dummyfunction("""COMPUTED_VALUE"""),"/-tiket-pistolet-1-strochnyj-290344-/")</f>
        <v>/-tiket-pistolet-1-strochnyj-290344-/</v>
      </c>
    </row>
    <row r="108" customFormat="false" ht="23.85" hidden="false" customHeight="false" outlineLevel="0" collapsed="false">
      <c r="A108" s="5" t="n">
        <f aca="false">IFERROR(__xludf.dummyfunction("""COMPUTED_VALUE"""),211496)</f>
        <v>211496</v>
      </c>
      <c r="B108" s="7" t="str">
        <f aca="false">IFERROR(__xludf.dummyfunction("""COMPUTED_VALUE"""),"Этикет-пистолет 1-строчный (цифры (290435)")</f>
        <v>Этикет-пистолет 1-строчный (цифры (290435)</v>
      </c>
      <c r="C108" s="5" t="str">
        <f aca="false">IFERROR(__xludf.dummyfunction("""COMPUTED_VALUE"""),"В наличии 4194")</f>
        <v>В наличии 4194</v>
      </c>
      <c r="D108" s="5" t="n">
        <f aca="false">IFERROR(__xludf.dummyfunction("""COMPUTED_VALUE"""),1049)</f>
        <v>1049</v>
      </c>
      <c r="E108" s="7" t="str">
        <f aca="false">IFERROR(__xludf.dummyfunction("""COMPUTED_VALUE"""),"/-tiket-pistolet-1-strochnyj-cifry-290435-/")</f>
        <v>/-tiket-pistolet-1-strochnyj-cifry-290435-/</v>
      </c>
    </row>
    <row r="109" customFormat="false" ht="23.85" hidden="false" customHeight="false" outlineLevel="0" collapsed="false">
      <c r="A109" s="5" t="n">
        <f aca="false">IFERROR(__xludf.dummyfunction("""COMPUTED_VALUE"""),211497)</f>
        <v>211497</v>
      </c>
      <c r="B109" s="7" t="str">
        <f aca="false">IFERROR(__xludf.dummyfunction("""COMPUTED_VALUE"""),"Этикет-пистолет 1-строчный (цифры (290436)")</f>
        <v>Этикет-пистолет 1-строчный (цифры (290436)</v>
      </c>
      <c r="C109" s="5" t="str">
        <f aca="false">IFERROR(__xludf.dummyfunction("""COMPUTED_VALUE"""),"В наличии 1598")</f>
        <v>В наличии 1598</v>
      </c>
      <c r="D109" s="5" t="n">
        <f aca="false">IFERROR(__xludf.dummyfunction("""COMPUTED_VALUE"""),1166)</f>
        <v>1166</v>
      </c>
      <c r="E109" s="7" t="str">
        <f aca="false">IFERROR(__xludf.dummyfunction("""COMPUTED_VALUE"""),"/-tiket-pistolet-1-strochnyj-cifry-290436-/")</f>
        <v>/-tiket-pistolet-1-strochnyj-cifry-290436-/</v>
      </c>
    </row>
    <row r="110" customFormat="false" ht="23.85" hidden="false" customHeight="false" outlineLevel="0" collapsed="false">
      <c r="A110" s="5" t="n">
        <f aca="false">IFERROR(__xludf.dummyfunction("IMPORTXML(getIdItems(""https://www.lustrof.ru/category/ofis/kanctovary/bumaga/ehtiketki-i-cenniki/?page="",4),""//span[@class='products__item-info-code-v']"")"),211498)</f>
        <v>211498</v>
      </c>
      <c r="B110" s="7" t="str">
        <f aca="false">IFERROR(__xludf.dummyfunction("IMPORTXML(getIdItems(""https://www.lustrof.ru/category/ofis/kanctovary/bumaga/ehtiketki-i-cenniki/?page="",4),""//span[@class='products__item-info-name']"")"),"Этикет-пистолет 1-строчный (цифры (290437)")</f>
        <v>Этикет-пистолет 1-строчный (цифры (290437)</v>
      </c>
      <c r="C110" s="5" t="str">
        <f aca="false">IFERROR(__xludf.dummyfunction("IMPORTXML(getIdItems(""https://www.lustrof.ru/category/ofis/kanctovary/bumaga/ehtiketki-i-cenniki/?page="",4),""//span[@class='products__available-in-stock']"")"),"В наличии 905")</f>
        <v>В наличии 905</v>
      </c>
      <c r="D110" s="5" t="n">
        <f aca="false">IFERROR(__xludf.dummyfunction("IMPORTXML(getIdItems(""https://www.lustrof.ru/category/ofis/kanctovary/bumaga/ehtiketki-i-cenniki/?page="",4),""//span[@class='products__price-new']/text()"")"),2865)</f>
        <v>2865</v>
      </c>
      <c r="E110" s="7" t="str">
        <f aca="false">IFERROR(__xludf.dummyfunction("IMPORTXML(getIdItems(""https://www.lustrof.ru/category/ofis/kanctovary/bumaga/ehtiketki-i-cenniki/?page="",4),""//div[@class='products__item']/a/@href"")"),"/-tiket-pistolet-1-strochnyj-cifry-290437-/")</f>
        <v>/-tiket-pistolet-1-strochnyj-cifry-290437-/</v>
      </c>
    </row>
    <row r="111" customFormat="false" ht="23.85" hidden="false" customHeight="false" outlineLevel="0" collapsed="false">
      <c r="A111" s="5" t="n">
        <f aca="false">IFERROR(__xludf.dummyfunction("""COMPUTED_VALUE"""),211679)</f>
        <v>211679</v>
      </c>
      <c r="B111" s="7" t="str">
        <f aca="false">IFERROR(__xludf.dummyfunction("""COMPUTED_VALUE"""),"Этикет-пистолет 1-строчный (цифры (290830)")</f>
        <v>Этикет-пистолет 1-строчный (цифры (290830)</v>
      </c>
      <c r="C111" s="5" t="str">
        <f aca="false">IFERROR(__xludf.dummyfunction("""COMPUTED_VALUE"""),"В наличии 1203")</f>
        <v>В наличии 1203</v>
      </c>
      <c r="D111" s="5" t="n">
        <f aca="false">IFERROR(__xludf.dummyfunction("""COMPUTED_VALUE"""),771)</f>
        <v>771</v>
      </c>
      <c r="E111" s="7" t="str">
        <f aca="false">IFERROR(__xludf.dummyfunction("""COMPUTED_VALUE"""),"/-tiket-pistolet-1-strochnyj-cifry-290830-/")</f>
        <v>/-tiket-pistolet-1-strochnyj-cifry-290830-/</v>
      </c>
    </row>
    <row r="112" customFormat="false" ht="23.85" hidden="false" customHeight="false" outlineLevel="0" collapsed="false">
      <c r="A112" s="5" t="n">
        <f aca="false">IFERROR(__xludf.dummyfunction("""COMPUTED_VALUE"""),211433)</f>
        <v>211433</v>
      </c>
      <c r="B112" s="7" t="str">
        <f aca="false">IFERROR(__xludf.dummyfunction("""COMPUTED_VALUE"""),"Этикет-пистолет 2-строчный (290342)")</f>
        <v>Этикет-пистолет 2-строчный (290342)</v>
      </c>
      <c r="C112" s="5" t="str">
        <f aca="false">IFERROR(__xludf.dummyfunction("""COMPUTED_VALUE"""),"В наличии 18")</f>
        <v>В наличии 18</v>
      </c>
      <c r="D112" s="5" t="n">
        <f aca="false">IFERROR(__xludf.dummyfunction("""COMPUTED_VALUE"""),6272)</f>
        <v>6272</v>
      </c>
      <c r="E112" s="7" t="str">
        <f aca="false">IFERROR(__xludf.dummyfunction("""COMPUTED_VALUE"""),"/-tiket-pistolet-2-strochnyj-290342-/")</f>
        <v>/-tiket-pistolet-2-strochnyj-290342-/</v>
      </c>
    </row>
    <row r="113" customFormat="false" ht="23.85" hidden="false" customHeight="false" outlineLevel="0" collapsed="false">
      <c r="A113" s="5" t="n">
        <f aca="false">IFERROR(__xludf.dummyfunction("""COMPUTED_VALUE"""),211499)</f>
        <v>211499</v>
      </c>
      <c r="B113" s="7" t="str">
        <f aca="false">IFERROR(__xludf.dummyfunction("""COMPUTED_VALUE"""),"Этикет-пистолет 2-строчный (цифры (290438)")</f>
        <v>Этикет-пистолет 2-строчный (цифры (290438)</v>
      </c>
      <c r="C113" s="5" t="str">
        <f aca="false">IFERROR(__xludf.dummyfunction("""COMPUTED_VALUE"""),"В наличии 1440")</f>
        <v>В наличии 1440</v>
      </c>
      <c r="D113" s="5" t="n">
        <f aca="false">IFERROR(__xludf.dummyfunction("""COMPUTED_VALUE"""),2794)</f>
        <v>2794</v>
      </c>
      <c r="E113" s="7" t="str">
        <f aca="false">IFERROR(__xludf.dummyfunction("""COMPUTED_VALUE"""),"/-tiket-pistolet-2-strochnyj-cifry-290438-/")</f>
        <v>/-tiket-pistolet-2-strochnyj-cifry-290438-/</v>
      </c>
    </row>
    <row r="114" customFormat="false" ht="23.85" hidden="false" customHeight="false" outlineLevel="0" collapsed="false">
      <c r="A114" s="5" t="n">
        <f aca="false">IFERROR(__xludf.dummyfunction("""COMPUTED_VALUE"""),199142)</f>
        <v>199142</v>
      </c>
      <c r="B114" s="7" t="str">
        <f aca="false">IFERROR(__xludf.dummyfunction("""COMPUTED_VALUE"""),"Этикетка самоклеящаяся ""Пронумеровано (111743)")</f>
        <v>Этикетка самоклеящаяся "Пронумеровано (111743)</v>
      </c>
      <c r="C114" s="5" t="str">
        <f aca="false">IFERROR(__xludf.dummyfunction("""COMPUTED_VALUE"""),"В наличии 17")</f>
        <v>В наличии 17</v>
      </c>
      <c r="D114" s="5" t="n">
        <f aca="false">IFERROR(__xludf.dummyfunction("""COMPUTED_VALUE"""),1110)</f>
        <v>1110</v>
      </c>
      <c r="E114" s="7" t="str">
        <f aca="false">IFERROR(__xludf.dummyfunction("""COMPUTED_VALUE"""),"/-tiketka-samokleyashayasya-pronumerovano-111743-/")</f>
        <v>/-tiketka-samokleyashayasya-pronumerovano-111743-/</v>
      </c>
    </row>
    <row r="115" customFormat="false" ht="23.85" hidden="false" customHeight="false" outlineLevel="0" collapsed="false">
      <c r="A115" s="5" t="n">
        <f aca="false">IFERROR(__xludf.dummyfunction("""COMPUTED_VALUE"""),200707)</f>
        <v>200707</v>
      </c>
      <c r="B115" s="7" t="str">
        <f aca="false">IFERROR(__xludf.dummyfunction("""COMPUTED_VALUE"""),"Этикетка самоклеящаяся ""Пронумеровано (128833)")</f>
        <v>Этикетка самоклеящаяся "Пронумеровано (128833)</v>
      </c>
      <c r="C115" s="5" t="str">
        <f aca="false">IFERROR(__xludf.dummyfunction("""COMPUTED_VALUE"""),"В наличии 810")</f>
        <v>В наличии 810</v>
      </c>
      <c r="D115" s="5" t="n">
        <f aca="false">IFERROR(__xludf.dummyfunction("""COMPUTED_VALUE"""),312)</f>
        <v>312</v>
      </c>
      <c r="E115" s="7" t="str">
        <f aca="false">IFERROR(__xludf.dummyfunction("""COMPUTED_VALUE"""),"/-tiketka-samokleyashayasya-pronumerovano-128833-/")</f>
        <v>/-tiketka-samokleyashayasya-pronumerovano-128833-/</v>
      </c>
    </row>
    <row r="116" customFormat="false" ht="57.45" hidden="false" customHeight="false" outlineLevel="0" collapsed="false">
      <c r="A116" s="5" t="n">
        <f aca="false">IFERROR(__xludf.dummyfunction("""COMPUTED_VALUE"""),386161)</f>
        <v>386161</v>
      </c>
      <c r="B116" s="7" t="str">
        <f aca="false">IFERROR(__xludf.dummyfunction("""COMPUTED_VALUE"""),"Этикетка самоклеящаяся 105х148 мм, 4 этикетки, белая, 70 г/м2, 100 л., 
Avery, Европа-100, ELA024 (114306)")</f>
        <v>Этикетка самоклеящаяся 105х148 мм, 4 этикетки, белая, 70 г/м2, 100 л., 
Avery, Европа-100, ELA024 (114306)</v>
      </c>
      <c r="C116" s="5" t="str">
        <f aca="false">IFERROR(__xludf.dummyfunction("""COMPUTED_VALUE"""),"В наличии 59")</f>
        <v>В наличии 59</v>
      </c>
      <c r="D116" s="5" t="n">
        <f aca="false">IFERROR(__xludf.dummyfunction("""COMPUTED_VALUE"""),1778)</f>
        <v>1778</v>
      </c>
      <c r="E116" s="7" t="str">
        <f aca="false">IFERROR(__xludf.dummyfunction("""COMPUTED_VALUE"""),"/-tiketka-samokleyashayasya-105h148-mm-4-tiketki-belaya-70-g-m2-100-l-avery-evropa-100-ela024-114306-/")</f>
        <v>/-tiketka-samokleyashayasya-105h148-mm-4-tiketki-belaya-70-g-m2-100-l-avery-evropa-100-ela024-114306-/</v>
      </c>
    </row>
    <row r="117" customFormat="false" ht="57.45" hidden="false" customHeight="false" outlineLevel="0" collapsed="false">
      <c r="A117" s="5" t="n">
        <f aca="false">IFERROR(__xludf.dummyfunction("""COMPUTED_VALUE"""),386179)</f>
        <v>386179</v>
      </c>
      <c r="B117" s="7" t="str">
        <f aca="false">IFERROR(__xludf.dummyfunction("""COMPUTED_VALUE"""),"Этикетка самоклеящаяся 105х148 мм, 4 этикетки, белая, 70 г/м2, 18 л., 
Avery, Европа-100, ELA024-18 (114316)")</f>
        <v>Этикетка самоклеящаяся 105х148 мм, 4 этикетки, белая, 70 г/м2, 18 л., 
Avery, Европа-100, ELA024-18 (114316)</v>
      </c>
      <c r="C117" s="5" t="str">
        <f aca="false">IFERROR(__xludf.dummyfunction("""COMPUTED_VALUE"""),"В наличии 209")</f>
        <v>В наличии 209</v>
      </c>
      <c r="D117" s="5" t="n">
        <f aca="false">IFERROR(__xludf.dummyfunction("""COMPUTED_VALUE"""),406)</f>
        <v>406</v>
      </c>
      <c r="E117" s="7" t="str">
        <f aca="false">IFERROR(__xludf.dummyfunction("""COMPUTED_VALUE"""),"/-tiketka-samokleyashayasya-105h148-mm-4-tiketki-belaya-70-g-m2-18-l-avery-evropa-100-ela024-18-114316-/")</f>
        <v>/-tiketka-samokleyashayasya-105h148-mm-4-tiketki-belaya-70-g-m2-18-l-avery-evropa-100-ela024-18-114316-/</v>
      </c>
    </row>
    <row r="118" customFormat="false" ht="57.45" hidden="false" customHeight="false" outlineLevel="0" collapsed="false">
      <c r="A118" s="5" t="n">
        <f aca="false">IFERROR(__xludf.dummyfunction("""COMPUTED_VALUE"""),386692)</f>
        <v>386692</v>
      </c>
      <c r="B118" s="7" t="str">
        <f aca="false">IFERROR(__xludf.dummyfunction("""COMPUTED_VALUE"""),"Этикетка самоклеящаяся 105х148,5 мм, 4 этикетки, белая, 70 г/м2, 50 листов, 
TANEX, сырье Финляндия, 114529, TW-2204 (114529)")</f>
        <v>Этикетка самоклеящаяся 105х148,5 мм, 4 этикетки, белая, 70 г/м2, 50 листов, 
TANEX, сырье Финляндия, 114529, TW-2204 (114529)</v>
      </c>
      <c r="C118" s="5" t="str">
        <f aca="false">IFERROR(__xludf.dummyfunction("""COMPUTED_VALUE"""),"В наличии 2826")</f>
        <v>В наличии 2826</v>
      </c>
      <c r="D118" s="5" t="n">
        <f aca="false">IFERROR(__xludf.dummyfunction("""COMPUTED_VALUE"""),461)</f>
        <v>461</v>
      </c>
      <c r="E118" s="7" t="str">
        <f aca="false">IFERROR(__xludf.dummyfunction("""COMPUTED_VALUE"""),"/-tiketka-samokleyashayasya-105h148-5-mm-4-tiketki-belaya-70-g-m2-50-listov-tanex-syre-finlyandiya-114529-tw-2204-114529-/")</f>
        <v>/-tiketka-samokleyashayasya-105h148-5-mm-4-tiketki-belaya-70-g-m2-50-listov-tanex-syre-finlyandiya-114529-tw-2204-114529-/</v>
      </c>
    </row>
    <row r="119" customFormat="false" ht="57.45" hidden="false" customHeight="false" outlineLevel="0" collapsed="false">
      <c r="A119" s="5" t="n">
        <f aca="false">IFERROR(__xludf.dummyfunction("""COMPUTED_VALUE"""),386697)</f>
        <v>386697</v>
      </c>
      <c r="B119" s="7" t="str">
        <f aca="false">IFERROR(__xludf.dummyfunction("""COMPUTED_VALUE"""),"Этикетка самоклеящаяся 105х37,1 мм, 16 этикеток, белая 70 г/м2, 50 листов, 
TANEX, сырье Финляндия, 114534, TW-2105 (114534)")</f>
        <v>Этикетка самоклеящаяся 105х37,1 мм, 16 этикеток, белая 70 г/м2, 50 листов, 
TANEX, сырье Финляндия, 114534, TW-2105 (114534)</v>
      </c>
      <c r="C119" s="5" t="str">
        <f aca="false">IFERROR(__xludf.dummyfunction("""COMPUTED_VALUE"""),"В наличии 206")</f>
        <v>В наличии 206</v>
      </c>
      <c r="D119" s="5" t="n">
        <f aca="false">IFERROR(__xludf.dummyfunction("""COMPUTED_VALUE"""),461)</f>
        <v>461</v>
      </c>
      <c r="E119" s="7" t="str">
        <f aca="false">IFERROR(__xludf.dummyfunction("""COMPUTED_VALUE"""),"/-tiketka-samokleyashayasya-105h37-1-mm-16-tiketok-belaya-70-g-m2-50-listov-tanex-syre-finlyandiya-114534-tw-2105-114534-/")</f>
        <v>/-tiketka-samokleyashayasya-105h37-1-mm-16-tiketok-belaya-70-g-m2-50-listov-tanex-syre-finlyandiya-114534-tw-2105-114534-/</v>
      </c>
    </row>
    <row r="120" customFormat="false" ht="57.45" hidden="false" customHeight="false" outlineLevel="0" collapsed="false">
      <c r="A120" s="5" t="n">
        <f aca="false">IFERROR(__xludf.dummyfunction("""COMPUTED_VALUE"""),386171)</f>
        <v>386171</v>
      </c>
      <c r="B120" s="7" t="str">
        <f aca="false">IFERROR(__xludf.dummyfunction("""COMPUTED_VALUE"""),"Этикетка самоклеящаяся 105х48 мм, 12 этикеток, белая, 70 г/м2, 100 л., 
Avery, Европа-100, ELA021 (114313)")</f>
        <v>Этикетка самоклеящаяся 105х48 мм, 12 этикеток, белая, 70 г/м2, 100 л., 
Avery, Европа-100, ELA021 (114313)</v>
      </c>
      <c r="C120" s="5" t="str">
        <f aca="false">IFERROR(__xludf.dummyfunction("""COMPUTED_VALUE"""),"В наличии 46")</f>
        <v>В наличии 46</v>
      </c>
      <c r="D120" s="5" t="n">
        <f aca="false">IFERROR(__xludf.dummyfunction("""COMPUTED_VALUE"""),1760)</f>
        <v>1760</v>
      </c>
      <c r="E120" s="7" t="str">
        <f aca="false">IFERROR(__xludf.dummyfunction("""COMPUTED_VALUE"""),"/-tiketka-samokleyashayasya-105h48-mm-12-tiketok-belaya-70-g-m2-100-l-avery-evropa-100-ela021-114313-/")</f>
        <v>/-tiketka-samokleyashayasya-105h48-mm-12-tiketok-belaya-70-g-m2-100-l-avery-evropa-100-ela021-114313-/</v>
      </c>
    </row>
    <row r="121" customFormat="false" ht="57.45" hidden="false" customHeight="false" outlineLevel="0" collapsed="false">
      <c r="A121" s="5" t="n">
        <f aca="false">IFERROR(__xludf.dummyfunction("""COMPUTED_VALUE"""),386696)</f>
        <v>386696</v>
      </c>
      <c r="B121" s="7" t="str">
        <f aca="false">IFERROR(__xludf.dummyfunction("""COMPUTED_VALUE"""),"Этикетка самоклеящаяся 105х48 мм, 12 этикеток, белая, 70 г/м2, 50 листов, 
TANEX, сырье Финляндия, 114533, TW-2612 (114533)")</f>
        <v>Этикетка самоклеящаяся 105х48 мм, 12 этикеток, белая, 70 г/м2, 50 листов, 
TANEX, сырье Финляндия, 114533, TW-2612 (114533)</v>
      </c>
      <c r="C121" s="5" t="str">
        <f aca="false">IFERROR(__xludf.dummyfunction("""COMPUTED_VALUE"""),"В наличии 657")</f>
        <v>В наличии 657</v>
      </c>
      <c r="D121" s="5" t="n">
        <f aca="false">IFERROR(__xludf.dummyfunction("""COMPUTED_VALUE"""),461)</f>
        <v>461</v>
      </c>
      <c r="E121" s="7" t="str">
        <f aca="false">IFERROR(__xludf.dummyfunction("""COMPUTED_VALUE"""),"/-tiketka-samokleyashayasya-105h48-mm-12-tiketok-belaya-70-g-m2-50-listov-tanex-syre-finlyandiya-114533-tw-2612-114533-/")</f>
        <v>/-tiketka-samokleyashayasya-105h48-mm-12-tiketok-belaya-70-g-m2-50-listov-tanex-syre-finlyandiya-114533-tw-2612-114533-/</v>
      </c>
    </row>
    <row r="122" customFormat="false" ht="57.45" hidden="false" customHeight="false" outlineLevel="0" collapsed="false">
      <c r="A122" s="5" t="n">
        <f aca="false">IFERROR(__xludf.dummyfunction("""COMPUTED_VALUE"""),386170)</f>
        <v>386170</v>
      </c>
      <c r="B122" s="7" t="str">
        <f aca="false">IFERROR(__xludf.dummyfunction("""COMPUTED_VALUE"""),"Этикетка самоклеящаяся 105х57 мм, 10 этикеток, белая, 70 г/м2, 100 л., 
Avery, Европа-100, ELA022 (114312)")</f>
        <v>Этикетка самоклеящаяся 105х57 мм, 10 этикеток, белая, 70 г/м2, 100 л., 
Avery, Европа-100, ELA022 (114312)</v>
      </c>
      <c r="C122" s="5" t="str">
        <f aca="false">IFERROR(__xludf.dummyfunction("""COMPUTED_VALUE"""),"В наличии 88")</f>
        <v>В наличии 88</v>
      </c>
      <c r="D122" s="5" t="n">
        <f aca="false">IFERROR(__xludf.dummyfunction("""COMPUTED_VALUE"""),1778)</f>
        <v>1778</v>
      </c>
      <c r="E122" s="7" t="str">
        <f aca="false">IFERROR(__xludf.dummyfunction("""COMPUTED_VALUE"""),"/-tiketka-samokleyashayasya-105h57-mm-10-tiketok-belaya-70-g-m2-100-l-avery-evropa-100-ela022-114312-/")</f>
        <v>/-tiketka-samokleyashayasya-105h57-mm-10-tiketok-belaya-70-g-m2-100-l-avery-evropa-100-ela022-114312-/</v>
      </c>
    </row>
    <row r="123" customFormat="false" ht="57.45" hidden="false" customHeight="false" outlineLevel="0" collapsed="false">
      <c r="A123" s="5" t="n">
        <f aca="false">IFERROR(__xludf.dummyfunction("""COMPUTED_VALUE"""),386695)</f>
        <v>386695</v>
      </c>
      <c r="B123" s="7" t="str">
        <f aca="false">IFERROR(__xludf.dummyfunction("""COMPUTED_VALUE"""),"Этикетка самоклеящаяся 105х57 мм, 10 этикеток, белая, 70 г/м2, 50 листов, 
TANEX, сырье Финляндия, 114532, TW-2610 (114532)")</f>
        <v>Этикетка самоклеящаяся 105х57 мм, 10 этикеток, белая, 70 г/м2, 50 листов, 
TANEX, сырье Финляндия, 114532, TW-2610 (114532)</v>
      </c>
      <c r="C123" s="5" t="str">
        <f aca="false">IFERROR(__xludf.dummyfunction("""COMPUTED_VALUE"""),"В наличии 2211")</f>
        <v>В наличии 2211</v>
      </c>
      <c r="D123" s="5" t="n">
        <f aca="false">IFERROR(__xludf.dummyfunction("""COMPUTED_VALUE"""),461)</f>
        <v>461</v>
      </c>
      <c r="E123" s="7" t="str">
        <f aca="false">IFERROR(__xludf.dummyfunction("""COMPUTED_VALUE"""),"/-tiketka-samokleyashayasya-105h57-mm-10-tiketok-belaya-70-g-m2-50-listov-tanex-syre-finlyandiya-114532-tw-2610-114532-/")</f>
        <v>/-tiketka-samokleyashayasya-105h57-mm-10-tiketok-belaya-70-g-m2-50-listov-tanex-syre-finlyandiya-114532-tw-2610-114532-/</v>
      </c>
    </row>
    <row r="124" customFormat="false" ht="57.45" hidden="false" customHeight="false" outlineLevel="0" collapsed="false">
      <c r="A124" s="5" t="n">
        <f aca="false">IFERROR(__xludf.dummyfunction("""COMPUTED_VALUE"""),386694)</f>
        <v>386694</v>
      </c>
      <c r="B124" s="7" t="str">
        <f aca="false">IFERROR(__xludf.dummyfunction("""COMPUTED_VALUE"""),"Этикетка самоклеящаяся 105х74,2 мм, 8 этикеток, белая, 70 г/м2, 50 листов, 
TANEX, сырье Финляндия, 114531, TW-2374 (114531)")</f>
        <v>Этикетка самоклеящаяся 105х74,2 мм, 8 этикеток, белая, 70 г/м2, 50 листов, 
TANEX, сырье Финляндия, 114531, TW-2374 (114531)</v>
      </c>
      <c r="C124" s="5" t="str">
        <f aca="false">IFERROR(__xludf.dummyfunction("""COMPUTED_VALUE"""),"В наличии 2688")</f>
        <v>В наличии 2688</v>
      </c>
      <c r="D124" s="5" t="n">
        <f aca="false">IFERROR(__xludf.dummyfunction("""COMPUTED_VALUE"""),461)</f>
        <v>461</v>
      </c>
      <c r="E124" s="7" t="str">
        <f aca="false">IFERROR(__xludf.dummyfunction("""COMPUTED_VALUE"""),"/-tiketka-samokleyashayasya-105h74-2-mm-8-tiketok-belaya-70-g-m2-50-listov-tanex-syre-finlyandiya-114531-tw-2374-114531-/")</f>
        <v>/-tiketka-samokleyashayasya-105h74-2-mm-8-tiketok-belaya-70-g-m2-50-listov-tanex-syre-finlyandiya-114531-tw-2374-114531-/</v>
      </c>
    </row>
    <row r="125" customFormat="false" ht="57.45" hidden="false" customHeight="false" outlineLevel="0" collapsed="false">
      <c r="A125" s="5" t="n">
        <f aca="false">IFERROR(__xludf.dummyfunction("""COMPUTED_VALUE"""),386693)</f>
        <v>386693</v>
      </c>
      <c r="B125" s="7" t="str">
        <f aca="false">IFERROR(__xludf.dummyfunction("""COMPUTED_VALUE"""),"Этикетка самоклеящаяся 105х99 мм, 6 этикеток, белая, 70 г/м2, 50 листов, 
TANEX, сырье Финляндия, 114530, TW-2303 (114530)")</f>
        <v>Этикетка самоклеящаяся 105х99 мм, 6 этикеток, белая, 70 г/м2, 50 листов, 
TANEX, сырье Финляндия, 114530, TW-2303 (114530)</v>
      </c>
      <c r="C125" s="5" t="str">
        <f aca="false">IFERROR(__xludf.dummyfunction("""COMPUTED_VALUE"""),"В наличии 321")</f>
        <v>В наличии 321</v>
      </c>
      <c r="D125" s="5" t="n">
        <f aca="false">IFERROR(__xludf.dummyfunction("""COMPUTED_VALUE"""),461)</f>
        <v>461</v>
      </c>
      <c r="E125" s="7" t="str">
        <f aca="false">IFERROR(__xludf.dummyfunction("""COMPUTED_VALUE"""),"/-tiketka-samokleyashayasya-105h99-mm-6-tiketok-belaya-70-g-m2-50-listov-tanex-syre-finlyandiya-114530-tw-2303-114530-/")</f>
        <v>/-tiketka-samokleyashayasya-105h99-mm-6-tiketok-belaya-70-g-m2-50-listov-tanex-syre-finlyandiya-114530-tw-2303-114530-/</v>
      </c>
    </row>
    <row r="126" customFormat="false" ht="57.45" hidden="false" customHeight="false" outlineLevel="0" collapsed="false">
      <c r="A126" s="5" t="n">
        <f aca="false">IFERROR(__xludf.dummyfunction("""COMPUTED_VALUE"""),386691)</f>
        <v>386691</v>
      </c>
      <c r="B126" s="7" t="str">
        <f aca="false">IFERROR(__xludf.dummyfunction("""COMPUTED_VALUE"""),"Этикетка самоклеящаяся 210х148,5 мм, 2 этикетки, белая, 70 г/м2, 50 листов, 
TANEX, сырье Финляндия, 114528, TW-2102 (114528)")</f>
        <v>Этикетка самоклеящаяся 210х148,5 мм, 2 этикетки, белая, 70 г/м2, 50 листов, 
TANEX, сырье Финляндия, 114528, TW-2102 (114528)</v>
      </c>
      <c r="C126" s="5" t="str">
        <f aca="false">IFERROR(__xludf.dummyfunction("""COMPUTED_VALUE"""),"В наличии 947")</f>
        <v>В наличии 947</v>
      </c>
      <c r="D126" s="5" t="n">
        <f aca="false">IFERROR(__xludf.dummyfunction("""COMPUTED_VALUE"""),461)</f>
        <v>461</v>
      </c>
      <c r="E126" s="7" t="str">
        <f aca="false">IFERROR(__xludf.dummyfunction("""COMPUTED_VALUE"""),"/-tiketka-samokleyashayasya-210h148-5-mm-2-tiketki-belaya-70-g-m2-50-listov-tanex-syre-finlyandiya-114528-tw-2102-114528-/")</f>
        <v>/-tiketka-samokleyashayasya-210h148-5-mm-2-tiketki-belaya-70-g-m2-50-listov-tanex-syre-finlyandiya-114528-tw-2102-114528-/</v>
      </c>
    </row>
    <row r="127" customFormat="false" ht="23.85" hidden="false" customHeight="false" outlineLevel="0" collapsed="false">
      <c r="A127" s="5" t="n">
        <f aca="false">IFERROR(__xludf.dummyfunction("""COMPUTED_VALUE"""),199531)</f>
        <v>199531</v>
      </c>
      <c r="B127" s="7" t="str">
        <f aca="false">IFERROR(__xludf.dummyfunction("""COMPUTED_VALUE"""),"Этикетка самоклеящаяся 210х297 мм (124337)")</f>
        <v>Этикетка самоклеящаяся 210х297 мм (124337)</v>
      </c>
      <c r="C127" s="5" t="str">
        <f aca="false">IFERROR(__xludf.dummyfunction("""COMPUTED_VALUE"""),"В наличии 25")</f>
        <v>В наличии 25</v>
      </c>
      <c r="D127" s="5" t="n">
        <f aca="false">IFERROR(__xludf.dummyfunction("""COMPUTED_VALUE"""),4682)</f>
        <v>4682</v>
      </c>
      <c r="E127" s="7" t="str">
        <f aca="false">IFERROR(__xludf.dummyfunction("""COMPUTED_VALUE"""),"/-tiketka-samokleyashayasya-210h297-mm-124337-/")</f>
        <v>/-tiketka-samokleyashayasya-210h297-mm-124337-/</v>
      </c>
    </row>
    <row r="128" customFormat="false" ht="57.45" hidden="false" customHeight="false" outlineLevel="0" collapsed="false">
      <c r="A128" s="5" t="n">
        <f aca="false">IFERROR(__xludf.dummyfunction("""COMPUTED_VALUE"""),386159)</f>
        <v>386159</v>
      </c>
      <c r="B128" s="7" t="str">
        <f aca="false">IFERROR(__xludf.dummyfunction("""COMPUTED_VALUE"""),"Этикетка самоклеящаяся 210х297 мм, 1 этикетка, белая, 70 г/м2, 100 л., 
Avery, Европа-100, ELA027 (114304)")</f>
        <v>Этикетка самоклеящаяся 210х297 мм, 1 этикетка, белая, 70 г/м2, 100 л., 
Avery, Европа-100, ELA027 (114304)</v>
      </c>
      <c r="C128" s="5" t="str">
        <f aca="false">IFERROR(__xludf.dummyfunction("""COMPUTED_VALUE"""),"В наличии 319")</f>
        <v>В наличии 319</v>
      </c>
      <c r="D128" s="5" t="n">
        <f aca="false">IFERROR(__xludf.dummyfunction("""COMPUTED_VALUE"""),1778)</f>
        <v>1778</v>
      </c>
      <c r="E128" s="7" t="str">
        <f aca="false">IFERROR(__xludf.dummyfunction("""COMPUTED_VALUE"""),"/-tiketka-samokleyashayasya-210h297-mm-1-tiketka-belaya-70-g-m2-100-l-avery-evropa-100-ela027-114304-/")</f>
        <v>/-tiketka-samokleyashayasya-210h297-mm-1-tiketka-belaya-70-g-m2-100-l-avery-evropa-100-ela027-114304-/</v>
      </c>
    </row>
    <row r="129" customFormat="false" ht="57.45" hidden="false" customHeight="false" outlineLevel="0" collapsed="false">
      <c r="A129" s="5" t="n">
        <f aca="false">IFERROR(__xludf.dummyfunction("""COMPUTED_VALUE"""),443414)</f>
        <v>443414</v>
      </c>
      <c r="B129" s="7" t="str">
        <f aca="false">IFERROR(__xludf.dummyfunction("""COMPUTED_VALUE"""),"Этикетка самоклеящаяся 210х297 мм, 1 этикетка, белая, 70 г/м2, 50 листов, 
TANEX, сырье Финляндия, 114527, TW-2000 (114527)")</f>
        <v>Этикетка самоклеящаяся 210х297 мм, 1 этикетка, белая, 70 г/м2, 50 листов, 
TANEX, сырье Финляндия, 114527, TW-2000 (114527)</v>
      </c>
      <c r="C129" s="5" t="str">
        <f aca="false">IFERROR(__xludf.dummyfunction("""COMPUTED_VALUE"""),"В наличии 19051")</f>
        <v>В наличии 19051</v>
      </c>
      <c r="D129" s="5" t="n">
        <f aca="false">IFERROR(__xludf.dummyfunction("""COMPUTED_VALUE"""),461)</f>
        <v>461</v>
      </c>
      <c r="E129" s="7" t="str">
        <f aca="false">IFERROR(__xludf.dummyfunction("""COMPUTED_VALUE"""),"/-tiketka-samokleyashayasya-210h297-mm-1-tiketka-belaya-70-g-m2-50-listov-tanex-syre-finlyandiya-114527-tw-2000-114527-/")</f>
        <v>/-tiketka-samokleyashayasya-210h297-mm-1-tiketka-belaya-70-g-m2-50-listov-tanex-syre-finlyandiya-114527-tw-2000-114527-/</v>
      </c>
    </row>
    <row r="130" customFormat="false" ht="57.45" hidden="false" customHeight="false" outlineLevel="0" collapsed="false">
      <c r="A130" s="5" t="n">
        <f aca="false">IFERROR(__xludf.dummyfunction("""COMPUTED_VALUE"""),386169)</f>
        <v>386169</v>
      </c>
      <c r="B130" s="7" t="str">
        <f aca="false">IFERROR(__xludf.dummyfunction("""COMPUTED_VALUE"""),"Этикетка самоклеящаяся 38х21,2 мм, 65 этикеток, белая, 70 г/м2, 100 л., 
Avery, Европа-100, ELA001 (114311)")</f>
        <v>Этикетка самоклеящаяся 38х21,2 мм, 65 этикеток, белая, 70 г/м2, 100 л., 
Avery, Европа-100, ELA001 (114311)</v>
      </c>
      <c r="C130" s="5" t="str">
        <f aca="false">IFERROR(__xludf.dummyfunction("""COMPUTED_VALUE"""),"В наличии 8")</f>
        <v>В наличии 8</v>
      </c>
      <c r="D130" s="5" t="n">
        <f aca="false">IFERROR(__xludf.dummyfunction("""COMPUTED_VALUE"""),1760)</f>
        <v>1760</v>
      </c>
      <c r="E130" s="7" t="str">
        <f aca="false">IFERROR(__xludf.dummyfunction("""COMPUTED_VALUE"""),"/-tiketka-samokleyashayasya-38h21-2-mm-65-tiketok-belaya-70-g-m2-100-l-avery-evropa-100-ela001-114311-/")</f>
        <v>/-tiketka-samokleyashayasya-38h21-2-mm-65-tiketok-belaya-70-g-m2-100-l-avery-evropa-100-ela001-114311-/</v>
      </c>
    </row>
    <row r="131" customFormat="false" ht="57.45" hidden="false" customHeight="false" outlineLevel="0" collapsed="false">
      <c r="A131" s="5" t="n">
        <f aca="false">IFERROR(__xludf.dummyfunction("""COMPUTED_VALUE"""),386182)</f>
        <v>386182</v>
      </c>
      <c r="B131" s="7" t="str">
        <f aca="false">IFERROR(__xludf.dummyfunction("""COMPUTED_VALUE"""),"Этикетка самоклеящаяся 38х21,2 мм, 65 этикеток, белая, 70 г/м2, 18 л., 
Avery, Европа-100, ELA001-18 (114319)")</f>
        <v>Этикетка самоклеящаяся 38х21,2 мм, 65 этикеток, белая, 70 г/м2, 18 л., 
Avery, Европа-100, ELA001-18 (114319)</v>
      </c>
      <c r="C131" s="5" t="str">
        <f aca="false">IFERROR(__xludf.dummyfunction("""COMPUTED_VALUE"""),"В наличии 294")</f>
        <v>В наличии 294</v>
      </c>
      <c r="D131" s="5" t="n">
        <f aca="false">IFERROR(__xludf.dummyfunction("""COMPUTED_VALUE"""),410)</f>
        <v>410</v>
      </c>
      <c r="E131" s="7" t="str">
        <f aca="false">IFERROR(__xludf.dummyfunction("""COMPUTED_VALUE"""),"/-tiketka-samokleyashayasya-38h21-2-mm-65-tiketok-belaya-70-g-m2-18-l-avery-evropa-100-ela001-18-114319-/")</f>
        <v>/-tiketka-samokleyashayasya-38h21-2-mm-65-tiketok-belaya-70-g-m2-18-l-avery-evropa-100-ela001-18-114319-/</v>
      </c>
    </row>
    <row r="132" customFormat="false" ht="46.25" hidden="false" customHeight="false" outlineLevel="0" collapsed="false">
      <c r="A132" s="5" t="n">
        <f aca="false">IFERROR(__xludf.dummyfunction("""COMPUTED_VALUE"""),235253)</f>
        <v>235253</v>
      </c>
      <c r="B132" s="7" t="str">
        <f aca="false">IFERROR(__xludf.dummyfunction("""COMPUTED_VALUE"""),"Этикетка самоклеящаяся 38х21,2мм, 65 этикеток, 65г/м2, 100л, STAFF Everyday 
(сырье Фи, 111851")</f>
        <v>Этикетка самоклеящаяся 38х21,2мм, 65 этикеток, 65г/м2, 100л, STAFF Everyday 
(сырье Фи, 111851</v>
      </c>
      <c r="C132" s="5" t="str">
        <f aca="false">IFERROR(__xludf.dummyfunction("""COMPUTED_VALUE"""),"В наличии 3")</f>
        <v>В наличии 3</v>
      </c>
      <c r="D132" s="5" t="n">
        <f aca="false">IFERROR(__xludf.dummyfunction("""COMPUTED_VALUE"""),1672)</f>
        <v>1672</v>
      </c>
      <c r="E132" s="7" t="str">
        <f aca="false">IFERROR(__xludf.dummyfunction("""COMPUTED_VALUE"""),"/-tiketka-samokleyashayasya-38h21-2mm-65-tiketok-65g-m2-100l-staff-everyday-syre-fi-111851/")</f>
        <v>/-tiketka-samokleyashayasya-38h21-2mm-65-tiketok-65g-m2-100l-staff-everyday-syre-fi-111851/</v>
      </c>
    </row>
    <row r="133" customFormat="false" ht="57.45" hidden="false" customHeight="false" outlineLevel="0" collapsed="false">
      <c r="A133" s="5" t="n">
        <f aca="false">IFERROR(__xludf.dummyfunction("""COMPUTED_VALUE"""),386732)</f>
        <v>386732</v>
      </c>
      <c r="B133" s="7" t="str">
        <f aca="false">IFERROR(__xludf.dummyfunction("""COMPUTED_VALUE"""),"Этикетка самоклеящаяся 48,5х16,9 мм, 64 этикетки, белая 70 г/м2, 50 листов, 
TANEX, сырье Финляндия, 114541, TW-2564 (114541)")</f>
        <v>Этикетка самоклеящаяся 48,5х16,9 мм, 64 этикетки, белая 70 г/м2, 50 листов, 
TANEX, сырье Финляндия, 114541, TW-2564 (114541)</v>
      </c>
      <c r="C133" s="5" t="str">
        <f aca="false">IFERROR(__xludf.dummyfunction("""COMPUTED_VALUE"""),"В наличии 248")</f>
        <v>В наличии 248</v>
      </c>
      <c r="D133" s="5" t="n">
        <f aca="false">IFERROR(__xludf.dummyfunction("""COMPUTED_VALUE"""),461)</f>
        <v>461</v>
      </c>
      <c r="E133" s="7" t="str">
        <f aca="false">IFERROR(__xludf.dummyfunction("""COMPUTED_VALUE"""),"/-tiketka-samokleyashayasya-48-5h16-9-mm-64-tiketki-belaya-70-g-m2-50-listov-tanex-syre-finlyandiya-114541-tw-2564-114541-/")</f>
        <v>/-tiketka-samokleyashayasya-48-5h16-9-mm-64-tiketki-belaya-70-g-m2-50-listov-tanex-syre-finlyandiya-114541-tw-2564-114541-/</v>
      </c>
    </row>
    <row r="134" customFormat="false" ht="46.25" hidden="false" customHeight="false" outlineLevel="0" collapsed="false">
      <c r="A134" s="5" t="n">
        <f aca="false">IFERROR(__xludf.dummyfunction("""COMPUTED_VALUE"""),235252)</f>
        <v>235252</v>
      </c>
      <c r="B134" s="7" t="str">
        <f aca="false">IFERROR(__xludf.dummyfunction("""COMPUTED_VALUE"""),"Этикетка самоклеящаяся 48,5х16,9мм, 64 этикетки 65г/м2, 100л STAFF Everyday 
(сырье Фи, 111850")</f>
        <v>Этикетка самоклеящаяся 48,5х16,9мм, 64 этикетки 65г/м2, 100л STAFF Everyday 
(сырье Фи, 111850</v>
      </c>
      <c r="C134" s="5" t="str">
        <f aca="false">IFERROR(__xludf.dummyfunction("""COMPUTED_VALUE"""),"В наличии 15")</f>
        <v>В наличии 15</v>
      </c>
      <c r="D134" s="5" t="n">
        <f aca="false">IFERROR(__xludf.dummyfunction("""COMPUTED_VALUE"""),1672)</f>
        <v>1672</v>
      </c>
      <c r="E134" s="7" t="str">
        <f aca="false">IFERROR(__xludf.dummyfunction("""COMPUTED_VALUE"""),"/-tiketka-samokleyashayasya-48-5h16-9mm-64-tiketki-65g-m2-100l-staff-everyday-syre-fi-111850/")</f>
        <v>/-tiketka-samokleyashayasya-48-5h16-9mm-64-tiketki-65g-m2-100l-staff-everyday-syre-fi-111850/</v>
      </c>
    </row>
    <row r="135" customFormat="false" ht="57.45" hidden="false" customHeight="false" outlineLevel="0" collapsed="false">
      <c r="A135" s="5" t="n">
        <f aca="false">IFERROR(__xludf.dummyfunction("""COMPUTED_VALUE"""),386166)</f>
        <v>386166</v>
      </c>
      <c r="B135" s="7" t="str">
        <f aca="false">IFERROR(__xludf.dummyfunction("""COMPUTED_VALUE"""),"Этикетка самоклеящаяся 48,5х25,4 мм, 40 этикеток, белая, 70 г/м2, 100 л., 
Avery, Европа-100, ELA002 (114308)")</f>
        <v>Этикетка самоклеящаяся 48,5х25,4 мм, 40 этикеток, белая, 70 г/м2, 100 л., 
Avery, Европа-100, ELA002 (114308)</v>
      </c>
      <c r="C135" s="5" t="str">
        <f aca="false">IFERROR(__xludf.dummyfunction("""COMPUTED_VALUE"""),"В наличии 151")</f>
        <v>В наличии 151</v>
      </c>
      <c r="D135" s="5" t="n">
        <f aca="false">IFERROR(__xludf.dummyfunction("""COMPUTED_VALUE"""),1760)</f>
        <v>1760</v>
      </c>
      <c r="E135" s="7" t="str">
        <f aca="false">IFERROR(__xludf.dummyfunction("""COMPUTED_VALUE"""),"/-tiketka-samokleyashayasya-48-5h25-4-mm-40-tiketok-belaya-70-g-m2-100-l-avery-evropa-100-ela002-114308-/")</f>
        <v>/-tiketka-samokleyashayasya-48-5h25-4-mm-40-tiketok-belaya-70-g-m2-100-l-avery-evropa-100-ela002-114308-/</v>
      </c>
    </row>
    <row r="136" customFormat="false" ht="57.45" hidden="false" customHeight="false" outlineLevel="0" collapsed="false">
      <c r="A136" s="5" t="n">
        <f aca="false">IFERROR(__xludf.dummyfunction("""COMPUTED_VALUE"""),386180)</f>
        <v>386180</v>
      </c>
      <c r="B136" s="7" t="str">
        <f aca="false">IFERROR(__xludf.dummyfunction("""COMPUTED_VALUE"""),"Этикетка самоклеящаяся 48,5х25,4 мм, 40 этикеток, белая, 70 г/м2, 18 л., 
Avery, Европа-100, ELA002-18 (114317)")</f>
        <v>Этикетка самоклеящаяся 48,5х25,4 мм, 40 этикеток, белая, 70 г/м2, 18 л., 
Avery, Европа-100, ELA002-18 (114317)</v>
      </c>
      <c r="C136" s="5" t="str">
        <f aca="false">IFERROR(__xludf.dummyfunction("""COMPUTED_VALUE"""),"В наличии 23")</f>
        <v>В наличии 23</v>
      </c>
      <c r="D136" s="5" t="n">
        <f aca="false">IFERROR(__xludf.dummyfunction("""COMPUTED_VALUE"""),406)</f>
        <v>406</v>
      </c>
      <c r="E136" s="7" t="str">
        <f aca="false">IFERROR(__xludf.dummyfunction("""COMPUTED_VALUE"""),"/-tiketka-samokleyashayasya-48-5h25-4-mm-40-tiketok-belaya-70-g-m2-18-l-avery-evropa-100-ela002-18-114317-/")</f>
        <v>/-tiketka-samokleyashayasya-48-5h25-4-mm-40-tiketok-belaya-70-g-m2-18-l-avery-evropa-100-ela002-18-114317-/</v>
      </c>
    </row>
    <row r="137" customFormat="false" ht="68.65" hidden="false" customHeight="false" outlineLevel="0" collapsed="false">
      <c r="A137" s="5" t="n">
        <f aca="false">IFERROR(__xludf.dummyfunction("""COMPUTED_VALUE"""),386731)</f>
        <v>386731</v>
      </c>
      <c r="B137" s="7" t="str">
        <f aca="false">IFERROR(__xludf.dummyfunction("""COMPUTED_VALUE"""),"Этикетка самоклеящаяся 48,5х25,4 мм, 44 этикетки, белая, 70 г/м2, 50 
листов, TANEX, сырье Финляндия, 114540, TW-2044 (114540)")</f>
        <v>Этикетка самоклеящаяся 48,5х25,4 мм, 44 этикетки, белая, 70 г/м2, 50 
листов, TANEX, сырье Финляндия, 114540, TW-2044 (114540)</v>
      </c>
      <c r="C137" s="5" t="str">
        <f aca="false">IFERROR(__xludf.dummyfunction("""COMPUTED_VALUE"""),"В наличии 1915")</f>
        <v>В наличии 1915</v>
      </c>
      <c r="D137" s="5" t="n">
        <f aca="false">IFERROR(__xludf.dummyfunction("""COMPUTED_VALUE"""),461)</f>
        <v>461</v>
      </c>
      <c r="E137" s="7" t="str">
        <f aca="false">IFERROR(__xludf.dummyfunction("""COMPUTED_VALUE"""),"/-tiketka-samokleyashayasya-48-5h25-4-mm-44-tiketki-belaya-70-g-m2-50-listov-tanex-syre-finlyandiya-114540-tw-2044-114540-/")</f>
        <v>/-tiketka-samokleyashayasya-48-5h25-4-mm-44-tiketki-belaya-70-g-m2-50-listov-tanex-syre-finlyandiya-114540-tw-2044-114540-/</v>
      </c>
    </row>
    <row r="138" customFormat="false" ht="46.25" hidden="false" customHeight="false" outlineLevel="0" collapsed="false">
      <c r="A138" s="5" t="n">
        <f aca="false">IFERROR(__xludf.dummyfunction("""COMPUTED_VALUE"""),235250)</f>
        <v>235250</v>
      </c>
      <c r="B138" s="7" t="str">
        <f aca="false">IFERROR(__xludf.dummyfunction("""COMPUTED_VALUE"""),"Этикетка самоклеящаяся 48,5х25,4мм, 44 этикетки 65г/м2, 100л STAFF Everyday 
(сырье Фи, 111848")</f>
        <v>Этикетка самоклеящаяся 48,5х25,4мм, 44 этикетки 65г/м2, 100л STAFF Everyday 
(сырье Фи, 111848</v>
      </c>
      <c r="C138" s="5" t="str">
        <f aca="false">IFERROR(__xludf.dummyfunction("""COMPUTED_VALUE"""),"В наличии 7")</f>
        <v>В наличии 7</v>
      </c>
      <c r="D138" s="5" t="n">
        <f aca="false">IFERROR(__xludf.dummyfunction("""COMPUTED_VALUE"""),1672)</f>
        <v>1672</v>
      </c>
      <c r="E138" s="7" t="str">
        <f aca="false">IFERROR(__xludf.dummyfunction("""COMPUTED_VALUE"""),"/-tiketka-samokleyashayasya-48-5h25-4mm-44-tiketki-65g-m2-100l-staff-everyday-syre-fi-111848/")</f>
        <v>/-tiketka-samokleyashayasya-48-5h25-4mm-44-tiketki-65g-m2-100l-staff-everyday-syre-fi-111848/</v>
      </c>
    </row>
    <row r="139" customFormat="false" ht="68.65" hidden="false" customHeight="false" outlineLevel="0" collapsed="false">
      <c r="A139" s="5" t="n">
        <f aca="false">IFERROR(__xludf.dummyfunction("""COMPUTED_VALUE"""),386730)</f>
        <v>386730</v>
      </c>
      <c r="B139" s="7" t="str">
        <f aca="false">IFERROR(__xludf.dummyfunction("""COMPUTED_VALUE"""),"Этикетка самоклеящаяся 52,5х29,7 мм, 40 этикеток, белая, 70 г/м2, 50 
листов, TANEX, сырье Финляндия, 114539, TW-2040 (114539)")</f>
        <v>Этикетка самоклеящаяся 52,5х29,7 мм, 40 этикеток, белая, 70 г/м2, 50 
листов, TANEX, сырье Финляндия, 114539, TW-2040 (114539)</v>
      </c>
      <c r="C139" s="5" t="str">
        <f aca="false">IFERROR(__xludf.dummyfunction("""COMPUTED_VALUE"""),"В наличии 2000")</f>
        <v>В наличии 2000</v>
      </c>
      <c r="D139" s="5" t="n">
        <f aca="false">IFERROR(__xludf.dummyfunction("""COMPUTED_VALUE"""),461)</f>
        <v>461</v>
      </c>
      <c r="E139" s="7" t="str">
        <f aca="false">IFERROR(__xludf.dummyfunction("""COMPUTED_VALUE"""),"/-tiketka-samokleyashayasya-52-5h29-7-mm-40-tiketok-belaya-70-g-m2-50-listov-tanex-syre-finlyandiya-114539-tw-2040-114539-/")</f>
        <v>/-tiketka-samokleyashayasya-52-5h29-7-mm-40-tiketok-belaya-70-g-m2-50-listov-tanex-syre-finlyandiya-114539-tw-2040-114539-/</v>
      </c>
    </row>
    <row r="140" customFormat="false" ht="57.45" hidden="false" customHeight="false" outlineLevel="0" collapsed="false">
      <c r="A140" s="5" t="n">
        <f aca="false">IFERROR(__xludf.dummyfunction("""COMPUTED_VALUE"""),386729)</f>
        <v>386729</v>
      </c>
      <c r="B140" s="7" t="str">
        <f aca="false">IFERROR(__xludf.dummyfunction("""COMPUTED_VALUE"""),"Этикетка самоклеящаяся 64,6х33,8 мм, 24 этикетки, белая 70 г/м2, 50 листов, 
TANEX, сырье Финляндия, 114538, TW-2533 (114538)")</f>
        <v>Этикетка самоклеящаяся 64,6х33,8 мм, 24 этикетки, белая 70 г/м2, 50 листов, 
TANEX, сырье Финляндия, 114538, TW-2533 (114538)</v>
      </c>
      <c r="C140" s="5" t="str">
        <f aca="false">IFERROR(__xludf.dummyfunction("""COMPUTED_VALUE"""),"В наличии 720")</f>
        <v>В наличии 720</v>
      </c>
      <c r="D140" s="5" t="n">
        <f aca="false">IFERROR(__xludf.dummyfunction("""COMPUTED_VALUE"""),461)</f>
        <v>461</v>
      </c>
      <c r="E140" s="7" t="str">
        <f aca="false">IFERROR(__xludf.dummyfunction("""COMPUTED_VALUE"""),"/-tiketka-samokleyashayasya-64-6h33-8-mm-24-tiketki-belaya-70-g-m2-50-listov-tanex-syre-finlyandiya-114538-tw-2533-114538-/")</f>
        <v>/-tiketka-samokleyashayasya-64-6h33-8-mm-24-tiketki-belaya-70-g-m2-50-listov-tanex-syre-finlyandiya-114538-tw-2533-114538-/</v>
      </c>
    </row>
    <row r="141" customFormat="false" ht="57.45" hidden="false" customHeight="false" outlineLevel="0" collapsed="false">
      <c r="A141" s="5" t="n">
        <f aca="false">IFERROR(__xludf.dummyfunction("""COMPUTED_VALUE"""),386177)</f>
        <v>386177</v>
      </c>
      <c r="B141" s="7" t="str">
        <f aca="false">IFERROR(__xludf.dummyfunction("""COMPUTED_VALUE"""),"Этикетка самоклеящаяся 64,6х33,8 мм, 24 этикетки, белая, 70 г/м2, 100 л., 
Avery, Европа-100, ELA008 (114314)")</f>
        <v>Этикетка самоклеящаяся 64,6х33,8 мм, 24 этикетки, белая, 70 г/м2, 100 л., 
Avery, Европа-100, ELA008 (114314)</v>
      </c>
      <c r="C141" s="5" t="str">
        <f aca="false">IFERROR(__xludf.dummyfunction("""COMPUTED_VALUE"""),"В наличии 10")</f>
        <v>В наличии 10</v>
      </c>
      <c r="D141" s="5" t="n">
        <f aca="false">IFERROR(__xludf.dummyfunction("""COMPUTED_VALUE"""),1778)</f>
        <v>1778</v>
      </c>
      <c r="E141" s="7" t="str">
        <f aca="false">IFERROR(__xludf.dummyfunction("""COMPUTED_VALUE"""),"/-tiketka-samokleyashayasya-64-6h33-8-mm-24-tiketki-belaya-70-g-m2-100-l-avery-evropa-100-ela008-114314-/")</f>
        <v>/-tiketka-samokleyashayasya-64-6h33-8-mm-24-tiketki-belaya-70-g-m2-100-l-avery-evropa-100-ela008-114314-/</v>
      </c>
    </row>
    <row r="142" customFormat="false" ht="57.45" hidden="false" customHeight="false" outlineLevel="0" collapsed="false">
      <c r="A142" s="5" t="n">
        <f aca="false">IFERROR(__xludf.dummyfunction("""COMPUTED_VALUE"""),386698)</f>
        <v>386698</v>
      </c>
      <c r="B142" s="7" t="str">
        <f aca="false">IFERROR(__xludf.dummyfunction("""COMPUTED_VALUE"""),"Этикетка самоклеящаяся 67х46 мм, 18 этикеток, белая, 70 г/м2, 50 листов, 
TANEX, сырье Финляндия, 114535, TW-2067 (114535)")</f>
        <v>Этикетка самоклеящаяся 67х46 мм, 18 этикеток, белая, 70 г/м2, 50 листов, 
TANEX, сырье Финляндия, 114535, TW-2067 (114535)</v>
      </c>
      <c r="C142" s="5" t="str">
        <f aca="false">IFERROR(__xludf.dummyfunction("""COMPUTED_VALUE"""),"В наличии 3031")</f>
        <v>В наличии 3031</v>
      </c>
      <c r="D142" s="5" t="n">
        <f aca="false">IFERROR(__xludf.dummyfunction("""COMPUTED_VALUE"""),461)</f>
        <v>461</v>
      </c>
      <c r="E142" s="7" t="str">
        <f aca="false">IFERROR(__xludf.dummyfunction("""COMPUTED_VALUE"""),"/-tiketka-samokleyashayasya-67h46-mm-18-tiketok-belaya-70-g-m2-50-listov-tanex-syre-finlyandiya-114535-tw-2067-114535-/")</f>
        <v>/-tiketka-samokleyashayasya-67h46-mm-18-tiketok-belaya-70-g-m2-50-listov-tanex-syre-finlyandiya-114535-tw-2067-114535-/</v>
      </c>
    </row>
    <row r="143" customFormat="false" ht="57.45" hidden="false" customHeight="false" outlineLevel="0" collapsed="false">
      <c r="A143" s="5" t="n">
        <f aca="false">IFERROR(__xludf.dummyfunction("""COMPUTED_VALUE"""),386162)</f>
        <v>386162</v>
      </c>
      <c r="B143" s="7" t="str">
        <f aca="false">IFERROR(__xludf.dummyfunction("""COMPUTED_VALUE"""),"Этикетка самоклеящаяся 70х37 мм, 24 этикетки, белая, 70 г/м2, 100 л., 
Avery, Европа-100, ELA011 (114307)")</f>
        <v>Этикетка самоклеящаяся 70х37 мм, 24 этикетки, белая, 70 г/м2, 100 л., 
Avery, Европа-100, ELA011 (114307)</v>
      </c>
      <c r="C143" s="5" t="str">
        <f aca="false">IFERROR(__xludf.dummyfunction("""COMPUTED_VALUE"""),"В наличии 128")</f>
        <v>В наличии 128</v>
      </c>
      <c r="D143" s="5" t="n">
        <f aca="false">IFERROR(__xludf.dummyfunction("""COMPUTED_VALUE"""),1778)</f>
        <v>1778</v>
      </c>
      <c r="E143" s="7" t="str">
        <f aca="false">IFERROR(__xludf.dummyfunction("""COMPUTED_VALUE"""),"/-tiketka-samokleyashayasya-70h37-mm-24-tiketki-belaya-70-g-m2-100-l-avery-evropa-100-ela011-114307-/")</f>
        <v>/-tiketka-samokleyashayasya-70h37-mm-24-tiketki-belaya-70-g-m2-100-l-avery-evropa-100-ela011-114307-/</v>
      </c>
    </row>
    <row r="144" customFormat="false" ht="57.45" hidden="false" customHeight="false" outlineLevel="0" collapsed="false">
      <c r="A144" s="5" t="n">
        <f aca="false">IFERROR(__xludf.dummyfunction("""COMPUTED_VALUE"""),443415)</f>
        <v>443415</v>
      </c>
      <c r="B144" s="7" t="str">
        <f aca="false">IFERROR(__xludf.dummyfunction("""COMPUTED_VALUE"""),"Этикетка самоклеящаяся 70х37,1 мм, 24 этикетки, белая, 70 г/м2, 50 листов, 
TANEX, сырье Финляндия, 114537, TW-2037 (114537)")</f>
        <v>Этикетка самоклеящаяся 70х37,1 мм, 24 этикетки, белая, 70 г/м2, 50 листов, 
TANEX, сырье Финляндия, 114537, TW-2037 (114537)</v>
      </c>
      <c r="C144" s="5" t="str">
        <f aca="false">IFERROR(__xludf.dummyfunction("""COMPUTED_VALUE"""),"В наличии 3939")</f>
        <v>В наличии 3939</v>
      </c>
      <c r="D144" s="5" t="n">
        <f aca="false">IFERROR(__xludf.dummyfunction("""COMPUTED_VALUE"""),461)</f>
        <v>461</v>
      </c>
      <c r="E144" s="7" t="str">
        <f aca="false">IFERROR(__xludf.dummyfunction("""COMPUTED_VALUE"""),"/-tiketka-samokleyashayasya-70h37-1-mm-24-tiketki-belaya-70-g-m2-50-listov-tanex-syre-finlyandiya-114537-tw-2037-114537-/")</f>
        <v>/-tiketka-samokleyashayasya-70h37-1-mm-24-tiketki-belaya-70-g-m2-50-listov-tanex-syre-finlyandiya-114537-tw-2037-114537-/</v>
      </c>
    </row>
    <row r="145" customFormat="false" ht="57.45" hidden="false" customHeight="false" outlineLevel="0" collapsed="false">
      <c r="A145" s="5" t="n">
        <f aca="false">IFERROR(__xludf.dummyfunction("""COMPUTED_VALUE"""),386167)</f>
        <v>386167</v>
      </c>
      <c r="B145" s="7" t="str">
        <f aca="false">IFERROR(__xludf.dummyfunction("""COMPUTED_VALUE"""),"Этикетка самоклеящаяся 70х42,3 мм, 21 этикетка, белая, 70 г/м2, 100 л., 
Avery, Европа-100, ELA013 (114309)")</f>
        <v>Этикетка самоклеящаяся 70х42,3 мм, 21 этикетка, белая, 70 г/м2, 100 л., 
Avery, Европа-100, ELA013 (114309)</v>
      </c>
      <c r="C145" s="5" t="str">
        <f aca="false">IFERROR(__xludf.dummyfunction("""COMPUTED_VALUE"""),"В наличии 12")</f>
        <v>В наличии 12</v>
      </c>
      <c r="D145" s="5" t="n">
        <f aca="false">IFERROR(__xludf.dummyfunction("""COMPUTED_VALUE"""),1778)</f>
        <v>1778</v>
      </c>
      <c r="E145" s="7" t="str">
        <f aca="false">IFERROR(__xludf.dummyfunction("""COMPUTED_VALUE"""),"/-tiketka-samokleyashayasya-70h42-3-mm-21-tiketka-belaya-70-g-m2-100-l-avery-evropa-100-ela013-114309-/")</f>
        <v>/-tiketka-samokleyashayasya-70h42-3-mm-21-tiketka-belaya-70-g-m2-100-l-avery-evropa-100-ela013-114309-/</v>
      </c>
    </row>
    <row r="146" customFormat="false" ht="57.45" hidden="false" customHeight="false" outlineLevel="0" collapsed="false">
      <c r="A146" s="5" t="n">
        <f aca="false">IFERROR(__xludf.dummyfunction("IMPORTXML(getIdItems(""https://www.lustrof.ru/category/ofis/kanctovary/bumaga/ehtiketki-i-cenniki/?page="",5),""//span[@class='products__item-info-code-v']"")"),386181)</f>
        <v>386181</v>
      </c>
      <c r="B146" s="7" t="str">
        <f aca="false">IFERROR(__xludf.dummyfunction("IMPORTXML(getIdItems(""https://www.lustrof.ru/category/ofis/kanctovary/bumaga/ehtiketki-i-cenniki/?page="",5),""//span[@class='products__item-info-name']"")"),"Этикетка самоклеящаяся 70х42,3 мм, 21 этикетка, белая, 70 г/м2, 18 л., 
Avery, Европа-100, ELA013-18 (114318)")</f>
        <v>Этикетка самоклеящаяся 70х42,3 мм, 21 этикетка, белая, 70 г/м2, 18 л., 
Avery, Европа-100, ELA013-18 (114318)</v>
      </c>
      <c r="C146" s="5" t="str">
        <f aca="false">IFERROR(__xludf.dummyfunction("IMPORTXML(getIdItems(""https://www.lustrof.ru/category/ofis/kanctovary/bumaga/ehtiketki-i-cenniki/?page="",5),""//span[@class='products__available-in-stock']"")"),"В наличии 26")</f>
        <v>В наличии 26</v>
      </c>
      <c r="D146" s="5" t="n">
        <f aca="false">IFERROR(__xludf.dummyfunction("IMPORTXML(getIdItems(""https://www.lustrof.ru/category/ofis/kanctovary/bumaga/ehtiketki-i-cenniki/?page="",5),""//span[@class='products__price-new']/text()"")"),410)</f>
        <v>410</v>
      </c>
      <c r="E146" s="7" t="str">
        <f aca="false">IFERROR(__xludf.dummyfunction("IMPORTXML(getIdItems(""https://www.lustrof.ru/category/ofis/kanctovary/bumaga/ehtiketki-i-cenniki/?page="",5),""//div[@class='products__item']/a/@href"")"),"/-tiketka-samokleyashayasya-70h42-3-mm-21-tiketka-belaya-70-g-m2-18-l-avery-evropa-100-ela013-18-114318-/")</f>
        <v>/-tiketka-samokleyashayasya-70h42-3-mm-21-tiketka-belaya-70-g-m2-18-l-avery-evropa-100-ela013-18-114318-/</v>
      </c>
    </row>
    <row r="147" customFormat="false" ht="57.45" hidden="false" customHeight="false" outlineLevel="0" collapsed="false">
      <c r="A147" s="5" t="n">
        <f aca="false">IFERROR(__xludf.dummyfunction("""COMPUTED_VALUE"""),386770)</f>
        <v>386770</v>
      </c>
      <c r="B147" s="7" t="str">
        <f aca="false">IFERROR(__xludf.dummyfunction("""COMPUTED_VALUE"""),"Этикетка самоклеящаяся 70х70 мм, 12 этикеток, белая, 70 г/м2, 50 листов, 
TANEX, сырье Финляндия, 114550, TW-2312 (114550)")</f>
        <v>Этикетка самоклеящаяся 70х70 мм, 12 этикеток, белая, 70 г/м2, 50 листов, 
TANEX, сырье Финляндия, 114550, TW-2312 (114550)</v>
      </c>
      <c r="C147" s="5" t="str">
        <f aca="false">IFERROR(__xludf.dummyfunction("""COMPUTED_VALUE"""),"В наличии 273")</f>
        <v>В наличии 273</v>
      </c>
      <c r="D147" s="5" t="n">
        <f aca="false">IFERROR(__xludf.dummyfunction("""COMPUTED_VALUE"""),395)</f>
        <v>395</v>
      </c>
      <c r="E147" s="7" t="str">
        <f aca="false">IFERROR(__xludf.dummyfunction("""COMPUTED_VALUE"""),"/-tiketka-samokleyashayasya-70h70-mm-12-tiketok-belaya-70-g-m2-50-listov-tanex-syre-finlyandiya-114550-tw-2312-114550-/")</f>
        <v>/-tiketka-samokleyashayasya-70h70-mm-12-tiketok-belaya-70-g-m2-50-listov-tanex-syre-finlyandiya-114550-tw-2312-114550-/</v>
      </c>
    </row>
    <row r="148" customFormat="false" ht="23.85" hidden="false" customHeight="false" outlineLevel="0" collapsed="false">
      <c r="A148" s="5" t="n">
        <f aca="false">IFERROR(__xludf.dummyfunction("""COMPUTED_VALUE"""),199529)</f>
        <v>199529</v>
      </c>
      <c r="B148" s="7" t="str">
        <f aca="false">IFERROR(__xludf.dummyfunction("""COMPUTED_VALUE"""),"Этикетка самоклеящаяся ВСЕПОГОДНАЯ (124330)")</f>
        <v>Этикетка самоклеящаяся ВСЕПОГОДНАЯ (124330)</v>
      </c>
      <c r="C148" s="5" t="str">
        <f aca="false">IFERROR(__xludf.dummyfunction("""COMPUTED_VALUE"""),"В наличии 4")</f>
        <v>В наличии 4</v>
      </c>
      <c r="D148" s="5" t="n">
        <f aca="false">IFERROR(__xludf.dummyfunction("""COMPUTED_VALUE"""),5060)</f>
        <v>5060</v>
      </c>
      <c r="E148" s="7" t="str">
        <f aca="false">IFERROR(__xludf.dummyfunction("""COMPUTED_VALUE"""),"/-tiketka-samokleyashayasya-vsepogodnaya-124330-/")</f>
        <v>/-tiketka-samokleyashayasya-vsepogodnaya-124330-/</v>
      </c>
    </row>
    <row r="149" customFormat="false" ht="23.85" hidden="false" customHeight="false" outlineLevel="0" collapsed="false">
      <c r="A149" s="5" t="n">
        <f aca="false">IFERROR(__xludf.dummyfunction("""COMPUTED_VALUE"""),199530)</f>
        <v>199530</v>
      </c>
      <c r="B149" s="7" t="str">
        <f aca="false">IFERROR(__xludf.dummyfunction("""COMPUTED_VALUE"""),"Этикетка самоклеящаяся ВСЕПОГОДНАЯ (124333)")</f>
        <v>Этикетка самоклеящаяся ВСЕПОГОДНАЯ (124333)</v>
      </c>
      <c r="C149" s="5" t="str">
        <f aca="false">IFERROR(__xludf.dummyfunction("""COMPUTED_VALUE"""),"В наличии 119")</f>
        <v>В наличии 119</v>
      </c>
      <c r="D149" s="5" t="n">
        <f aca="false">IFERROR(__xludf.dummyfunction("""COMPUTED_VALUE"""),4732)</f>
        <v>4732</v>
      </c>
      <c r="E149" s="7" t="str">
        <f aca="false">IFERROR(__xludf.dummyfunction("""COMPUTED_VALUE"""),"/-tiketka-samokleyashayasya-vsepogodnaya-124333-/")</f>
        <v>/-tiketka-samokleyashayasya-vsepogodnaya-124333-/</v>
      </c>
    </row>
    <row r="150" customFormat="false" ht="46.25" hidden="false" customHeight="false" outlineLevel="0" collapsed="false">
      <c r="A150" s="5" t="n">
        <f aca="false">IFERROR(__xludf.dummyfunction("""COMPUTED_VALUE"""),199101)</f>
        <v>199101</v>
      </c>
      <c r="B150" s="7" t="str">
        <f aca="false">IFERROR(__xludf.dummyfunction("""COMPUTED_VALUE"""),"Этикетка самоклеящаяся для опечатывания документов ""ЗВЕЗДОЧКА"" белая 
(111651)")</f>
        <v>Этикетка самоклеящаяся для опечатывания документов "ЗВЕЗДОЧКА" белая 
(111651)</v>
      </c>
      <c r="C150" s="5" t="str">
        <f aca="false">IFERROR(__xludf.dummyfunction("""COMPUTED_VALUE"""),"В наличии 123")</f>
        <v>В наличии 123</v>
      </c>
      <c r="D150" s="5" t="n">
        <f aca="false">IFERROR(__xludf.dummyfunction("""COMPUTED_VALUE"""),1070)</f>
        <v>1070</v>
      </c>
      <c r="E150" s="7" t="str">
        <f aca="false">IFERROR(__xludf.dummyfunction("""COMPUTED_VALUE"""),"/-tiketka-samokleyashayasya-dlya-opechatyvaniya-dokumentov-zvezdochka-belaya-111651-/")</f>
        <v>/-tiketka-samokleyashayasya-dlya-opechatyvaniya-dokumentov-zvezdochka-belaya-111651-/</v>
      </c>
    </row>
    <row r="151" customFormat="false" ht="46.25" hidden="false" customHeight="false" outlineLevel="0" collapsed="false">
      <c r="A151" s="5" t="n">
        <f aca="false">IFERROR(__xludf.dummyfunction("""COMPUTED_VALUE"""),199141)</f>
        <v>199141</v>
      </c>
      <c r="B151" s="7" t="str">
        <f aca="false">IFERROR(__xludf.dummyfunction("""COMPUTED_VALUE"""),"Этикетка самоклеящаяся для опечатывания документов ЗВЕЗДОЧКА красная 
(111742)")</f>
        <v>Этикетка самоклеящаяся для опечатывания документов ЗВЕЗДОЧКА красная 
(111742)</v>
      </c>
      <c r="C151" s="5" t="str">
        <f aca="false">IFERROR(__xludf.dummyfunction("""COMPUTED_VALUE"""),"В наличии 155")</f>
        <v>В наличии 155</v>
      </c>
      <c r="D151" s="5" t="n">
        <f aca="false">IFERROR(__xludf.dummyfunction("""COMPUTED_VALUE"""),1110)</f>
        <v>1110</v>
      </c>
      <c r="E151" s="7" t="str">
        <f aca="false">IFERROR(__xludf.dummyfunction("""COMPUTED_VALUE"""),"/-tiketka-samokleyashayasya-dlya-opechatyvaniya-dokumentov-zvezdochka-krasnaya-111742-/")</f>
        <v>/-tiketka-samokleyashayasya-dlya-opechatyvaniya-dokumentov-zvezdochka-krasnaya-111742-/</v>
      </c>
    </row>
    <row r="152" customFormat="false" ht="46.25" hidden="false" customHeight="false" outlineLevel="0" collapsed="false">
      <c r="A152" s="5" t="n">
        <f aca="false">IFERROR(__xludf.dummyfunction("""COMPUTED_VALUE"""),288612)</f>
        <v>288612</v>
      </c>
      <c r="B152" s="7" t="str">
        <f aca="false">IFERROR(__xludf.dummyfunction("""COMPUTED_VALUE"""),"Этикетка термотрансферная ПОЛИПРОПИЛЕНОВАЯ (100х150 мм), 250 этикеток в 
ролике, 53078")</f>
        <v>Этикетка термотрансферная ПОЛИПРОПИЛЕНОВАЯ (100х150 мм), 250 этикеток в 
ролике, 53078</v>
      </c>
      <c r="C152" s="5" t="str">
        <f aca="false">IFERROR(__xludf.dummyfunction("""COMPUTED_VALUE"""),"В наличии 126")</f>
        <v>В наличии 126</v>
      </c>
      <c r="D152" s="5" t="n">
        <f aca="false">IFERROR(__xludf.dummyfunction("""COMPUTED_VALUE"""),788)</f>
        <v>788</v>
      </c>
      <c r="E152" s="7" t="str">
        <f aca="false">IFERROR(__xludf.dummyfunction("""COMPUTED_VALUE"""),"/-tiketka-termotransfernaya-polipropilenovaya-100h150-mm-250-tiketok-v-rolike-53078/")</f>
        <v>/-tiketka-termotransfernaya-polipropilenovaya-100h150-mm-250-tiketok-v-rolike-53078/</v>
      </c>
    </row>
    <row r="153" customFormat="false" ht="46.25" hidden="false" customHeight="false" outlineLevel="0" collapsed="false">
      <c r="A153" s="5" t="n">
        <f aca="false">IFERROR(__xludf.dummyfunction("""COMPUTED_VALUE"""),288616)</f>
        <v>288616</v>
      </c>
      <c r="B153" s="7" t="str">
        <f aca="false">IFERROR(__xludf.dummyfunction("""COMPUTED_VALUE"""),"Этикетка термотрансферная ПОЛИПРОПИЛЕНОВАЯ (100х72 мм), 500 этикеток в 
ролике, 53082")</f>
        <v>Этикетка термотрансферная ПОЛИПРОПИЛЕНОВАЯ (100х72 мм), 500 этикеток в 
ролике, 53082</v>
      </c>
      <c r="C153" s="5" t="str">
        <f aca="false">IFERROR(__xludf.dummyfunction("""COMPUTED_VALUE"""),"В наличии 31")</f>
        <v>В наличии 31</v>
      </c>
      <c r="D153" s="5" t="n">
        <f aca="false">IFERROR(__xludf.dummyfunction("""COMPUTED_VALUE"""),825)</f>
        <v>825</v>
      </c>
      <c r="E153" s="7" t="str">
        <f aca="false">IFERROR(__xludf.dummyfunction("""COMPUTED_VALUE"""),"/-tiketka-termotransfernaya-polipropilenovaya-100h72-mm-500-tiketok-v-rolike-53082/")</f>
        <v>/-tiketka-termotransfernaya-polipropilenovaya-100h72-mm-500-tiketok-v-rolike-53082/</v>
      </c>
    </row>
    <row r="154" customFormat="false" ht="46.25" hidden="false" customHeight="false" outlineLevel="0" collapsed="false">
      <c r="A154" s="5" t="n">
        <f aca="false">IFERROR(__xludf.dummyfunction("""COMPUTED_VALUE"""),268519)</f>
        <v>268519</v>
      </c>
      <c r="B154" s="7" t="str">
        <f aca="false">IFERROR(__xludf.dummyfunction("""COMPUTED_VALUE"""),"Этикетка термотрансферная ПОЛУГЛЯНЕЦ (100х150 мм), 250 этикеток в ролике, 
111976 (111976)")</f>
        <v>Этикетка термотрансферная ПОЛУГЛЯНЕЦ (100х150 мм), 250 этикеток в ролике, 
111976 (111976)</v>
      </c>
      <c r="C154" s="5" t="str">
        <f aca="false">IFERROR(__xludf.dummyfunction("""COMPUTED_VALUE"""),"В наличии 748")</f>
        <v>В наличии 748</v>
      </c>
      <c r="D154" s="5" t="n">
        <f aca="false">IFERROR(__xludf.dummyfunction("""COMPUTED_VALUE"""),630)</f>
        <v>630</v>
      </c>
      <c r="E154" s="7" t="str">
        <f aca="false">IFERROR(__xludf.dummyfunction("""COMPUTED_VALUE"""),"/-tiketka-termotransfernaya-poluglyanec-100h150-mm-250-tiketok-v-rolike-111976-111976-/")</f>
        <v>/-tiketka-termotransfernaya-poluglyanec-100h150-mm-250-tiketok-v-rolike-111976-111976-/</v>
      </c>
    </row>
    <row r="155" customFormat="false" ht="57.45" hidden="false" customHeight="false" outlineLevel="0" collapsed="false">
      <c r="A155" s="5" t="n">
        <f aca="false">IFERROR(__xludf.dummyfunction("""COMPUTED_VALUE"""),376088)</f>
        <v>376088</v>
      </c>
      <c r="B155" s="7" t="str">
        <f aca="false">IFERROR(__xludf.dummyfunction("""COMPUTED_VALUE"""),"Этикетка термотрансферная ПОЛУГЛЯНЕЦ (100х150 мм), 250 этикеток в ролике, 
прозрачная подложка, 114518, 54171 114518")</f>
        <v>Этикетка термотрансферная ПОЛУГЛЯНЕЦ (100х150 мм), 250 этикеток в ролике, 
прозрачная подложка, 114518, 54171 114518</v>
      </c>
      <c r="C155" s="5" t="str">
        <f aca="false">IFERROR(__xludf.dummyfunction("""COMPUTED_VALUE"""),"В наличии 160")</f>
        <v>В наличии 160</v>
      </c>
      <c r="D155" s="5" t="n">
        <f aca="false">IFERROR(__xludf.dummyfunction("""COMPUTED_VALUE"""),557)</f>
        <v>557</v>
      </c>
      <c r="E155" s="7" t="str">
        <f aca="false">IFERROR(__xludf.dummyfunction("""COMPUTED_VALUE"""),"/-tiketka-termotransfernaya-poluglyanec-100h150-mm-250-tiketok-v-rolike-prozrachnaya-podlozhka-114518-54171-114518/")</f>
        <v>/-tiketka-termotransfernaya-poluglyanec-100h150-mm-250-tiketok-v-rolike-prozrachnaya-podlozhka-114518-54171-114518/</v>
      </c>
    </row>
    <row r="156" customFormat="false" ht="57.45" hidden="false" customHeight="false" outlineLevel="0" collapsed="false">
      <c r="A156" s="5" t="n">
        <f aca="false">IFERROR(__xludf.dummyfunction("""COMPUTED_VALUE"""),376236)</f>
        <v>376236</v>
      </c>
      <c r="B156" s="7" t="str">
        <f aca="false">IFERROR(__xludf.dummyfunction("""COMPUTED_VALUE"""),"Этикетка ТермоЭко (100х100 мм), 1000 этикеток в ролике, прозрачная 
подложка, светостойкость до 2 месяцев, 114509, 54167 114509")</f>
        <v>Этикетка ТермоЭко (100х100 мм), 1000 этикеток в ролике, прозрачная 
подложка, светостойкость до 2 месяцев, 114509, 54167 114509</v>
      </c>
      <c r="C156" s="5" t="str">
        <f aca="false">IFERROR(__xludf.dummyfunction("""COMPUTED_VALUE"""),"В наличии 120")</f>
        <v>В наличии 120</v>
      </c>
      <c r="D156" s="5" t="n">
        <f aca="false">IFERROR(__xludf.dummyfunction("""COMPUTED_VALUE"""),1596)</f>
        <v>1596</v>
      </c>
      <c r="E156" s="7" t="str">
        <f aca="false">IFERROR(__xludf.dummyfunction("""COMPUTED_VALUE"""),"/-tiketka-termo-ko-100h100-mm-1000-tiketok-v-rolike-prozrachnaya-podlozhka-svetostojkost-do-2-mesyacev-114509-54167-114509/")</f>
        <v>/-tiketka-termo-ko-100h100-mm-1000-tiketok-v-rolike-prozrachnaya-podlozhka-svetostojkost-do-2-mesyacev-114509-54167-114509/</v>
      </c>
    </row>
    <row r="157" customFormat="false" ht="46.25" hidden="false" customHeight="false" outlineLevel="0" collapsed="false">
      <c r="A157" s="5" t="n">
        <f aca="false">IFERROR(__xludf.dummyfunction("""COMPUTED_VALUE"""),253081)</f>
        <v>253081</v>
      </c>
      <c r="B157" s="7" t="str">
        <f aca="false">IFERROR(__xludf.dummyfunction("""COMPUTED_VALUE"""),"Этикетка ТермоЭко (100х100 мм), 1000 этикеток в ролике, светостойкость до 2 
месяцев, 111964")</f>
        <v>Этикетка ТермоЭко (100х100 мм), 1000 этикеток в ролике, светостойкость до 2 
месяцев, 111964</v>
      </c>
      <c r="C157" s="5" t="str">
        <f aca="false">IFERROR(__xludf.dummyfunction("""COMPUTED_VALUE"""),"В наличии 1028")</f>
        <v>В наличии 1028</v>
      </c>
      <c r="D157" s="5" t="n">
        <f aca="false">IFERROR(__xludf.dummyfunction("""COMPUTED_VALUE"""),1750)</f>
        <v>1750</v>
      </c>
      <c r="E157" s="7" t="str">
        <f aca="false">IFERROR(__xludf.dummyfunction("""COMPUTED_VALUE"""),"/-tiketka-termo-ko-100h100-mm-1000-tiketok-v-rolike-svetostojkost-do-2-mesyacev-111964/")</f>
        <v>/-tiketka-termo-ko-100h100-mm-1000-tiketok-v-rolike-svetostojkost-do-2-mesyacev-111964/</v>
      </c>
    </row>
    <row r="158" customFormat="false" ht="23.85" hidden="false" customHeight="false" outlineLevel="0" collapsed="false">
      <c r="A158" s="5" t="n">
        <f aca="false">IFERROR(__xludf.dummyfunction("""COMPUTED_VALUE"""),201300)</f>
        <v>201300</v>
      </c>
      <c r="B158" s="7" t="str">
        <f aca="false">IFERROR(__xludf.dummyfunction("""COMPUTED_VALUE"""),"Этикетка ТермоЭко (58х60 мм) (129998)")</f>
        <v>Этикетка ТермоЭко (58х60 мм) (129998)</v>
      </c>
      <c r="C158" s="5" t="str">
        <f aca="false">IFERROR(__xludf.dummyfunction("""COMPUTED_VALUE"""),"В наличии 19")</f>
        <v>В наличии 19</v>
      </c>
      <c r="D158" s="5" t="n">
        <f aca="false">IFERROR(__xludf.dummyfunction("""COMPUTED_VALUE"""),1532)</f>
        <v>1532</v>
      </c>
      <c r="E158" s="7" t="str">
        <f aca="false">IFERROR(__xludf.dummyfunction("""COMPUTED_VALUE"""),"/-tiketka-termo-ko-58h60-mm-129998-/")</f>
        <v>/-tiketka-termo-ko-58h60-mm-129998-/</v>
      </c>
    </row>
    <row r="159" customFormat="false" ht="57.45" hidden="false" customHeight="false" outlineLevel="0" collapsed="false">
      <c r="A159" s="5" t="n">
        <f aca="false">IFERROR(__xludf.dummyfunction("""COMPUTED_VALUE"""),376233)</f>
        <v>376233</v>
      </c>
      <c r="B159" s="7" t="str">
        <f aca="false">IFERROR(__xludf.dummyfunction("""COMPUTED_VALUE"""),"Этикетка ТермоЭко (58х60 мм), 3000 этикеток в ролике, прозрачная подложка, 
светостойкость до 2 месяцев, 114506, 54241 114506")</f>
        <v>Этикетка ТермоЭко (58х60 мм), 3000 этикеток в ролике, прозрачная подложка, 
светостойкость до 2 месяцев, 114506, 54241 114506</v>
      </c>
      <c r="C159" s="5" t="str">
        <f aca="false">IFERROR(__xludf.dummyfunction("""COMPUTED_VALUE"""),"В наличии 1")</f>
        <v>В наличии 1</v>
      </c>
      <c r="D159" s="5" t="n">
        <f aca="false">IFERROR(__xludf.dummyfunction("""COMPUTED_VALUE"""),1261)</f>
        <v>1261</v>
      </c>
      <c r="E159" s="7" t="str">
        <f aca="false">IFERROR(__xludf.dummyfunction("""COMPUTED_VALUE"""),"/-tiketka-termo-ko-58h60-mm-3000-tiketok-v-rolike-prozrachnaya-podlozhka-svetostojkost-do-2-mesyacev-114506-54241-114506/")</f>
        <v>/-tiketka-termo-ko-58h60-mm-3000-tiketok-v-rolike-prozrachnaya-podlozhka-svetostojkost-do-2-mesyacev-114506-54241-114506/</v>
      </c>
    </row>
    <row r="160" customFormat="false" ht="13.8" hidden="false" customHeight="false" outlineLevel="0" collapsed="false">
      <c r="E160" s="7"/>
    </row>
    <row r="161" customFormat="false" ht="13.8" hidden="false" customHeight="false" outlineLevel="0" collapsed="false">
      <c r="E161" s="7"/>
    </row>
    <row r="162" customFormat="false" ht="13.8" hidden="false" customHeight="false" outlineLevel="0" collapsed="false">
      <c r="E162" s="7"/>
    </row>
    <row r="163" customFormat="false" ht="13.8" hidden="false" customHeight="false" outlineLevel="0" collapsed="false">
      <c r="E163" s="7"/>
    </row>
    <row r="164" customFormat="false" ht="13.8" hidden="false" customHeight="false" outlineLevel="0" collapsed="false">
      <c r="E164" s="7"/>
    </row>
    <row r="165" customFormat="false" ht="13.8" hidden="false" customHeight="false" outlineLevel="0" collapsed="false">
      <c r="E165" s="7"/>
    </row>
    <row r="166" customFormat="false" ht="13.8" hidden="false" customHeight="false" outlineLevel="0" collapsed="false">
      <c r="E166" s="7"/>
    </row>
    <row r="167" customFormat="false" ht="13.8" hidden="false" customHeight="false" outlineLevel="0" collapsed="false">
      <c r="E167" s="7"/>
    </row>
    <row r="168" customFormat="false" ht="13.8" hidden="false" customHeight="false" outlineLevel="0" collapsed="false">
      <c r="E168" s="7"/>
    </row>
    <row r="169" customFormat="false" ht="13.8" hidden="false" customHeight="false" outlineLevel="0" collapsed="false">
      <c r="E169" s="7"/>
    </row>
    <row r="170" customFormat="false" ht="13.8" hidden="false" customHeight="false" outlineLevel="0" collapsed="false">
      <c r="E170" s="7"/>
    </row>
    <row r="171" customFormat="false" ht="13.8" hidden="false" customHeight="false" outlineLevel="0" collapsed="false">
      <c r="E171" s="7"/>
    </row>
    <row r="172" customFormat="false" ht="13.8" hidden="false" customHeight="false" outlineLevel="0" collapsed="false">
      <c r="E172" s="7"/>
    </row>
    <row r="173" customFormat="false" ht="13.8" hidden="false" customHeight="false" outlineLevel="0" collapsed="false">
      <c r="E173" s="7"/>
    </row>
    <row r="174" customFormat="false" ht="13.8" hidden="false" customHeight="false" outlineLevel="0" collapsed="false">
      <c r="E174" s="7"/>
    </row>
    <row r="175" customFormat="false" ht="13.8" hidden="false" customHeight="false" outlineLevel="0" collapsed="false">
      <c r="E175" s="7"/>
    </row>
    <row r="176" customFormat="false" ht="13.8" hidden="false" customHeight="false" outlineLevel="0" collapsed="false">
      <c r="E176" s="7"/>
    </row>
    <row r="177" customFormat="false" ht="13.8" hidden="false" customHeight="false" outlineLevel="0" collapsed="false">
      <c r="E177" s="7"/>
    </row>
    <row r="178" customFormat="false" ht="13.8" hidden="false" customHeight="false" outlineLevel="0" collapsed="false">
      <c r="E178" s="7"/>
    </row>
    <row r="179" customFormat="false" ht="13.8" hidden="false" customHeight="false" outlineLevel="0" collapsed="false">
      <c r="E179" s="7"/>
    </row>
    <row r="180" customFormat="false" ht="13.8" hidden="false" customHeight="false" outlineLevel="0" collapsed="false">
      <c r="E180" s="7"/>
    </row>
    <row r="181" customFormat="false" ht="13.8" hidden="false" customHeight="false" outlineLevel="0" collapsed="false">
      <c r="E181" s="7"/>
    </row>
    <row r="182" customFormat="false" ht="13.8" hidden="false" customHeight="false" outlineLevel="0" collapsed="false">
      <c r="E182" s="7"/>
    </row>
    <row r="183" customFormat="false" ht="13.8" hidden="false" customHeight="false" outlineLevel="0" collapsed="false">
      <c r="E183" s="7"/>
    </row>
    <row r="184" customFormat="false" ht="13.8" hidden="false" customHeight="false" outlineLevel="0" collapsed="false">
      <c r="E184" s="7"/>
    </row>
    <row r="185" customFormat="false" ht="13.8" hidden="false" customHeight="false" outlineLevel="0" collapsed="false">
      <c r="E185" s="7"/>
    </row>
    <row r="186" customFormat="false" ht="13.8" hidden="false" customHeight="false" outlineLevel="0" collapsed="false">
      <c r="E186" s="7"/>
    </row>
    <row r="187" customFormat="false" ht="13.8" hidden="false" customHeight="false" outlineLevel="0" collapsed="false">
      <c r="E187" s="7"/>
    </row>
    <row r="188" customFormat="false" ht="13.8" hidden="false" customHeight="false" outlineLevel="0" collapsed="false">
      <c r="E188" s="7"/>
    </row>
    <row r="189" customFormat="false" ht="13.8" hidden="false" customHeight="false" outlineLevel="0" collapsed="false">
      <c r="E189" s="7"/>
    </row>
    <row r="190" customFormat="false" ht="13.8" hidden="false" customHeight="false" outlineLevel="0" collapsed="false">
      <c r="E190" s="7"/>
    </row>
    <row r="191" customFormat="false" ht="13.8" hidden="false" customHeight="false" outlineLevel="0" collapsed="false">
      <c r="E191" s="7"/>
    </row>
    <row r="192" customFormat="false" ht="13.8" hidden="false" customHeight="false" outlineLevel="0" collapsed="false">
      <c r="E192" s="7"/>
    </row>
    <row r="193" customFormat="false" ht="13.8" hidden="false" customHeight="false" outlineLevel="0" collapsed="false">
      <c r="E193" s="7"/>
    </row>
    <row r="194" customFormat="false" ht="13.8" hidden="false" customHeight="false" outlineLevel="0" collapsed="false">
      <c r="E194" s="7"/>
    </row>
    <row r="195" customFormat="false" ht="13.8" hidden="false" customHeight="false" outlineLevel="0" collapsed="false">
      <c r="E195" s="7"/>
    </row>
    <row r="196" customFormat="false" ht="13.8" hidden="false" customHeight="false" outlineLevel="0" collapsed="false">
      <c r="E196" s="7"/>
    </row>
    <row r="197" customFormat="false" ht="13.8" hidden="false" customHeight="false" outlineLevel="0" collapsed="false">
      <c r="E197" s="7"/>
    </row>
    <row r="198" customFormat="false" ht="13.8" hidden="false" customHeight="false" outlineLevel="0" collapsed="false">
      <c r="E198" s="7"/>
    </row>
    <row r="199" customFormat="false" ht="13.8" hidden="false" customHeight="false" outlineLevel="0" collapsed="false">
      <c r="E199" s="7"/>
    </row>
    <row r="200" customFormat="false" ht="13.8" hidden="false" customHeight="false" outlineLevel="0" collapsed="false">
      <c r="E200" s="7"/>
    </row>
    <row r="201" customFormat="false" ht="13.8" hidden="false" customHeight="false" outlineLevel="0" collapsed="false">
      <c r="E201" s="7"/>
    </row>
    <row r="202" customFormat="false" ht="13.8" hidden="false" customHeight="false" outlineLevel="0" collapsed="false">
      <c r="E202" s="7"/>
    </row>
    <row r="203" customFormat="false" ht="13.8" hidden="false" customHeight="false" outlineLevel="0" collapsed="false">
      <c r="E203" s="7"/>
    </row>
    <row r="204" customFormat="false" ht="13.8" hidden="false" customHeight="false" outlineLevel="0" collapsed="false">
      <c r="E204" s="7"/>
    </row>
    <row r="205" customFormat="false" ht="13.8" hidden="false" customHeight="false" outlineLevel="0" collapsed="false">
      <c r="E205" s="7"/>
    </row>
    <row r="206" customFormat="false" ht="13.8" hidden="false" customHeight="false" outlineLevel="0" collapsed="false">
      <c r="E206" s="7"/>
    </row>
    <row r="207" customFormat="false" ht="13.8" hidden="false" customHeight="false" outlineLevel="0" collapsed="false">
      <c r="E207" s="7"/>
    </row>
    <row r="208" customFormat="false" ht="13.8" hidden="false" customHeight="false" outlineLevel="0" collapsed="false">
      <c r="E208" s="7"/>
    </row>
    <row r="209" customFormat="false" ht="13.8" hidden="false" customHeight="false" outlineLevel="0" collapsed="false">
      <c r="E209" s="7"/>
    </row>
    <row r="210" customFormat="false" ht="13.8" hidden="false" customHeight="false" outlineLevel="0" collapsed="false">
      <c r="E210" s="7"/>
    </row>
    <row r="211" customFormat="false" ht="13.8" hidden="false" customHeight="false" outlineLevel="0" collapsed="false">
      <c r="E211" s="7"/>
    </row>
    <row r="212" customFormat="false" ht="13.8" hidden="false" customHeight="false" outlineLevel="0" collapsed="false">
      <c r="E212" s="7"/>
    </row>
    <row r="213" customFormat="false" ht="13.8" hidden="false" customHeight="false" outlineLevel="0" collapsed="false">
      <c r="E213" s="7"/>
    </row>
    <row r="214" customFormat="false" ht="13.8" hidden="false" customHeight="false" outlineLevel="0" collapsed="false">
      <c r="E214" s="7"/>
    </row>
    <row r="215" customFormat="false" ht="13.8" hidden="false" customHeight="false" outlineLevel="0" collapsed="false">
      <c r="E215" s="7"/>
    </row>
    <row r="216" customFormat="false" ht="13.8" hidden="false" customHeight="false" outlineLevel="0" collapsed="false">
      <c r="E216" s="7"/>
    </row>
    <row r="217" customFormat="false" ht="13.8" hidden="false" customHeight="false" outlineLevel="0" collapsed="false">
      <c r="E217" s="7"/>
    </row>
    <row r="218" customFormat="false" ht="13.8" hidden="false" customHeight="false" outlineLevel="0" collapsed="false">
      <c r="E218" s="7"/>
    </row>
    <row r="219" customFormat="false" ht="13.8" hidden="false" customHeight="false" outlineLevel="0" collapsed="false">
      <c r="E219" s="7"/>
    </row>
    <row r="220" customFormat="false" ht="13.8" hidden="false" customHeight="false" outlineLevel="0" collapsed="false">
      <c r="E220" s="7"/>
    </row>
    <row r="221" customFormat="false" ht="13.8" hidden="false" customHeight="false" outlineLevel="0" collapsed="false">
      <c r="E221" s="7"/>
    </row>
    <row r="222" customFormat="false" ht="13.8" hidden="false" customHeight="false" outlineLevel="0" collapsed="false">
      <c r="E222" s="7"/>
    </row>
    <row r="223" customFormat="false" ht="13.8" hidden="false" customHeight="false" outlineLevel="0" collapsed="false">
      <c r="E223" s="7"/>
    </row>
    <row r="224" customFormat="false" ht="13.8" hidden="false" customHeight="false" outlineLevel="0" collapsed="false">
      <c r="E224" s="7"/>
    </row>
    <row r="225" customFormat="false" ht="13.8" hidden="false" customHeight="false" outlineLevel="0" collapsed="false">
      <c r="E225" s="7"/>
    </row>
    <row r="226" customFormat="false" ht="13.8" hidden="false" customHeight="false" outlineLevel="0" collapsed="false">
      <c r="E226" s="7"/>
    </row>
    <row r="227" customFormat="false" ht="13.8" hidden="false" customHeight="false" outlineLevel="0" collapsed="false">
      <c r="E227" s="7"/>
    </row>
    <row r="228" customFormat="false" ht="13.8" hidden="false" customHeight="false" outlineLevel="0" collapsed="false">
      <c r="E228" s="7"/>
    </row>
    <row r="229" customFormat="false" ht="13.8" hidden="false" customHeight="false" outlineLevel="0" collapsed="false">
      <c r="E229" s="7"/>
    </row>
    <row r="230" customFormat="false" ht="13.8" hidden="false" customHeight="false" outlineLevel="0" collapsed="false">
      <c r="E230" s="7"/>
    </row>
    <row r="231" customFormat="false" ht="13.8" hidden="false" customHeight="false" outlineLevel="0" collapsed="false">
      <c r="E231" s="7"/>
    </row>
    <row r="232" customFormat="false" ht="13.8" hidden="false" customHeight="false" outlineLevel="0" collapsed="false">
      <c r="E232" s="7"/>
    </row>
    <row r="233" customFormat="false" ht="13.8" hidden="false" customHeight="false" outlineLevel="0" collapsed="false">
      <c r="E233" s="7"/>
    </row>
    <row r="234" customFormat="false" ht="13.8" hidden="false" customHeight="false" outlineLevel="0" collapsed="false">
      <c r="E234" s="7"/>
    </row>
    <row r="235" customFormat="false" ht="13.8" hidden="false" customHeight="false" outlineLevel="0" collapsed="false">
      <c r="E235" s="7"/>
    </row>
    <row r="236" customFormat="false" ht="13.8" hidden="false" customHeight="false" outlineLevel="0" collapsed="false">
      <c r="E236" s="7"/>
    </row>
    <row r="237" customFormat="false" ht="13.8" hidden="false" customHeight="false" outlineLevel="0" collapsed="false">
      <c r="E237" s="7"/>
    </row>
    <row r="238" customFormat="false" ht="13.8" hidden="false" customHeight="false" outlineLevel="0" collapsed="false">
      <c r="E238" s="7"/>
    </row>
    <row r="239" customFormat="false" ht="13.8" hidden="false" customHeight="false" outlineLevel="0" collapsed="false">
      <c r="E239" s="7"/>
    </row>
    <row r="240" customFormat="false" ht="13.8" hidden="false" customHeight="false" outlineLevel="0" collapsed="false">
      <c r="E240" s="7"/>
    </row>
    <row r="241" customFormat="false" ht="13.8" hidden="false" customHeight="false" outlineLevel="0" collapsed="false">
      <c r="E241" s="7"/>
    </row>
    <row r="242" customFormat="false" ht="13.8" hidden="false" customHeight="false" outlineLevel="0" collapsed="false">
      <c r="E242" s="7"/>
    </row>
    <row r="243" customFormat="false" ht="13.8" hidden="false" customHeight="false" outlineLevel="0" collapsed="false">
      <c r="E243" s="7"/>
    </row>
    <row r="244" customFormat="false" ht="13.8" hidden="false" customHeight="false" outlineLevel="0" collapsed="false">
      <c r="E244" s="7"/>
    </row>
    <row r="245" customFormat="false" ht="13.8" hidden="false" customHeight="false" outlineLevel="0" collapsed="false">
      <c r="E245" s="7"/>
    </row>
    <row r="246" customFormat="false" ht="13.8" hidden="false" customHeight="false" outlineLevel="0" collapsed="false">
      <c r="E246" s="7"/>
    </row>
    <row r="247" customFormat="false" ht="13.8" hidden="false" customHeight="false" outlineLevel="0" collapsed="false">
      <c r="E247" s="7"/>
    </row>
    <row r="248" customFormat="false" ht="13.8" hidden="false" customHeight="false" outlineLevel="0" collapsed="false">
      <c r="E248" s="7"/>
    </row>
    <row r="249" customFormat="false" ht="13.8" hidden="false" customHeight="false" outlineLevel="0" collapsed="false">
      <c r="E249" s="7"/>
    </row>
    <row r="250" customFormat="false" ht="13.8" hidden="false" customHeight="false" outlineLevel="0" collapsed="false">
      <c r="E250" s="7"/>
    </row>
    <row r="251" customFormat="false" ht="13.8" hidden="false" customHeight="false" outlineLevel="0" collapsed="false">
      <c r="E251" s="7"/>
    </row>
    <row r="252" customFormat="false" ht="13.8" hidden="false" customHeight="false" outlineLevel="0" collapsed="false">
      <c r="E252" s="7"/>
    </row>
    <row r="253" customFormat="false" ht="13.8" hidden="false" customHeight="false" outlineLevel="0" collapsed="false">
      <c r="E253" s="7"/>
    </row>
    <row r="254" customFormat="false" ht="13.8" hidden="false" customHeight="false" outlineLevel="0" collapsed="false">
      <c r="E254" s="7"/>
    </row>
    <row r="255" customFormat="false" ht="13.8" hidden="false" customHeight="false" outlineLevel="0" collapsed="false">
      <c r="E255" s="7"/>
    </row>
    <row r="256" customFormat="false" ht="13.8" hidden="false" customHeight="false" outlineLevel="0" collapsed="false">
      <c r="E256" s="7"/>
    </row>
    <row r="257" customFormat="false" ht="13.8" hidden="false" customHeight="false" outlineLevel="0" collapsed="false">
      <c r="E257" s="7"/>
    </row>
    <row r="258" customFormat="false" ht="13.8" hidden="false" customHeight="false" outlineLevel="0" collapsed="false">
      <c r="E258" s="7"/>
    </row>
    <row r="259" customFormat="false" ht="13.8" hidden="false" customHeight="false" outlineLevel="0" collapsed="false">
      <c r="E259" s="7"/>
    </row>
    <row r="260" customFormat="false" ht="13.8" hidden="false" customHeight="false" outlineLevel="0" collapsed="false">
      <c r="E260" s="7"/>
    </row>
    <row r="261" customFormat="false" ht="13.8" hidden="false" customHeight="false" outlineLevel="0" collapsed="false">
      <c r="E261" s="7"/>
    </row>
    <row r="262" customFormat="false" ht="13.8" hidden="false" customHeight="false" outlineLevel="0" collapsed="false">
      <c r="E262" s="7"/>
    </row>
    <row r="263" customFormat="false" ht="13.8" hidden="false" customHeight="false" outlineLevel="0" collapsed="false">
      <c r="E263" s="7"/>
    </row>
    <row r="264" customFormat="false" ht="13.8" hidden="false" customHeight="false" outlineLevel="0" collapsed="false">
      <c r="E264" s="7"/>
    </row>
    <row r="265" customFormat="false" ht="13.8" hidden="false" customHeight="false" outlineLevel="0" collapsed="false">
      <c r="E265" s="7"/>
    </row>
    <row r="266" customFormat="false" ht="13.8" hidden="false" customHeight="false" outlineLevel="0" collapsed="false">
      <c r="E266" s="7"/>
    </row>
    <row r="267" customFormat="false" ht="13.8" hidden="false" customHeight="false" outlineLevel="0" collapsed="false">
      <c r="E267" s="7"/>
    </row>
    <row r="268" customFormat="false" ht="13.8" hidden="false" customHeight="false" outlineLevel="0" collapsed="false">
      <c r="E268" s="7"/>
    </row>
    <row r="269" customFormat="false" ht="13.8" hidden="false" customHeight="false" outlineLevel="0" collapsed="false">
      <c r="E269" s="7"/>
    </row>
    <row r="270" customFormat="false" ht="13.8" hidden="false" customHeight="false" outlineLevel="0" collapsed="false">
      <c r="E270" s="7"/>
    </row>
    <row r="271" customFormat="false" ht="13.8" hidden="false" customHeight="false" outlineLevel="0" collapsed="false">
      <c r="E271" s="7"/>
    </row>
    <row r="272" customFormat="false" ht="13.8" hidden="false" customHeight="false" outlineLevel="0" collapsed="false">
      <c r="E272" s="7"/>
    </row>
    <row r="273" customFormat="false" ht="13.8" hidden="false" customHeight="false" outlineLevel="0" collapsed="false">
      <c r="E273" s="7"/>
    </row>
    <row r="274" customFormat="false" ht="13.8" hidden="false" customHeight="false" outlineLevel="0" collapsed="false">
      <c r="E274" s="7"/>
    </row>
    <row r="275" customFormat="false" ht="13.8" hidden="false" customHeight="false" outlineLevel="0" collapsed="false">
      <c r="E275" s="7"/>
    </row>
    <row r="276" customFormat="false" ht="13.8" hidden="false" customHeight="false" outlineLevel="0" collapsed="false">
      <c r="E276" s="7"/>
    </row>
    <row r="277" customFormat="false" ht="13.8" hidden="false" customHeight="false" outlineLevel="0" collapsed="false">
      <c r="E277" s="7"/>
    </row>
    <row r="278" customFormat="false" ht="13.8" hidden="false" customHeight="false" outlineLevel="0" collapsed="false">
      <c r="E278" s="7"/>
    </row>
    <row r="279" customFormat="false" ht="13.8" hidden="false" customHeight="false" outlineLevel="0" collapsed="false">
      <c r="E279" s="7"/>
    </row>
    <row r="280" customFormat="false" ht="13.8" hidden="false" customHeight="false" outlineLevel="0" collapsed="false">
      <c r="E280" s="7"/>
    </row>
    <row r="281" customFormat="false" ht="13.8" hidden="false" customHeight="false" outlineLevel="0" collapsed="false">
      <c r="E281" s="7"/>
    </row>
    <row r="282" customFormat="false" ht="13.8" hidden="false" customHeight="false" outlineLevel="0" collapsed="false">
      <c r="E282" s="7"/>
    </row>
    <row r="283" customFormat="false" ht="13.8" hidden="false" customHeight="false" outlineLevel="0" collapsed="false">
      <c r="E283" s="7"/>
    </row>
    <row r="284" customFormat="false" ht="13.8" hidden="false" customHeight="false" outlineLevel="0" collapsed="false">
      <c r="E284" s="7"/>
    </row>
    <row r="285" customFormat="false" ht="13.8" hidden="false" customHeight="false" outlineLevel="0" collapsed="false">
      <c r="E285" s="7"/>
    </row>
    <row r="286" customFormat="false" ht="13.8" hidden="false" customHeight="false" outlineLevel="0" collapsed="false">
      <c r="E286" s="7"/>
    </row>
    <row r="287" customFormat="false" ht="13.8" hidden="false" customHeight="false" outlineLevel="0" collapsed="false">
      <c r="E287" s="7"/>
    </row>
    <row r="288" customFormat="false" ht="13.8" hidden="false" customHeight="false" outlineLevel="0" collapsed="false">
      <c r="E288" s="7"/>
    </row>
    <row r="289" customFormat="false" ht="13.8" hidden="false" customHeight="false" outlineLevel="0" collapsed="false">
      <c r="E289" s="7"/>
    </row>
    <row r="290" customFormat="false" ht="13.8" hidden="false" customHeight="false" outlineLevel="0" collapsed="false">
      <c r="E290" s="7"/>
    </row>
    <row r="291" customFormat="false" ht="13.8" hidden="false" customHeight="false" outlineLevel="0" collapsed="false">
      <c r="E291" s="7"/>
    </row>
    <row r="292" customFormat="false" ht="13.8" hidden="false" customHeight="false" outlineLevel="0" collapsed="false">
      <c r="E292" s="7"/>
    </row>
    <row r="293" customFormat="false" ht="13.8" hidden="false" customHeight="false" outlineLevel="0" collapsed="false">
      <c r="E293" s="7"/>
    </row>
    <row r="294" customFormat="false" ht="13.8" hidden="false" customHeight="false" outlineLevel="0" collapsed="false">
      <c r="E294" s="7"/>
    </row>
    <row r="295" customFormat="false" ht="13.8" hidden="false" customHeight="false" outlineLevel="0" collapsed="false">
      <c r="E295" s="7"/>
    </row>
    <row r="296" customFormat="false" ht="13.8" hidden="false" customHeight="false" outlineLevel="0" collapsed="false">
      <c r="E296" s="7"/>
    </row>
    <row r="297" customFormat="false" ht="13.8" hidden="false" customHeight="false" outlineLevel="0" collapsed="false">
      <c r="E297" s="7"/>
    </row>
    <row r="298" customFormat="false" ht="13.8" hidden="false" customHeight="false" outlineLevel="0" collapsed="false">
      <c r="E298" s="7"/>
    </row>
    <row r="299" customFormat="false" ht="13.8" hidden="false" customHeight="false" outlineLevel="0" collapsed="false">
      <c r="E299" s="7"/>
    </row>
    <row r="300" customFormat="false" ht="13.8" hidden="false" customHeight="false" outlineLevel="0" collapsed="false">
      <c r="E300" s="7"/>
    </row>
    <row r="301" customFormat="false" ht="13.8" hidden="false" customHeight="false" outlineLevel="0" collapsed="false">
      <c r="E301" s="7"/>
    </row>
    <row r="302" customFormat="false" ht="13.8" hidden="false" customHeight="false" outlineLevel="0" collapsed="false">
      <c r="E302" s="7"/>
    </row>
    <row r="303" customFormat="false" ht="13.8" hidden="false" customHeight="false" outlineLevel="0" collapsed="false">
      <c r="E303" s="7"/>
    </row>
    <row r="304" customFormat="false" ht="13.8" hidden="false" customHeight="false" outlineLevel="0" collapsed="false">
      <c r="E304" s="7"/>
    </row>
    <row r="305" customFormat="false" ht="13.8" hidden="false" customHeight="false" outlineLevel="0" collapsed="false">
      <c r="E305" s="7"/>
    </row>
    <row r="306" customFormat="false" ht="13.8" hidden="false" customHeight="false" outlineLevel="0" collapsed="false">
      <c r="E306" s="7"/>
    </row>
    <row r="307" customFormat="false" ht="13.8" hidden="false" customHeight="false" outlineLevel="0" collapsed="false">
      <c r="E307" s="7"/>
    </row>
    <row r="308" customFormat="false" ht="13.8" hidden="false" customHeight="false" outlineLevel="0" collapsed="false">
      <c r="E308" s="7"/>
    </row>
    <row r="309" customFormat="false" ht="13.8" hidden="false" customHeight="false" outlineLevel="0" collapsed="false">
      <c r="E309" s="7"/>
    </row>
    <row r="310" customFormat="false" ht="13.8" hidden="false" customHeight="false" outlineLevel="0" collapsed="false">
      <c r="E310" s="7"/>
    </row>
    <row r="311" customFormat="false" ht="13.8" hidden="false" customHeight="false" outlineLevel="0" collapsed="false">
      <c r="E311" s="7"/>
    </row>
    <row r="312" customFormat="false" ht="13.8" hidden="false" customHeight="false" outlineLevel="0" collapsed="false">
      <c r="E312" s="7"/>
    </row>
    <row r="313" customFormat="false" ht="13.8" hidden="false" customHeight="false" outlineLevel="0" collapsed="false">
      <c r="E313" s="7"/>
    </row>
    <row r="314" customFormat="false" ht="13.8" hidden="false" customHeight="false" outlineLevel="0" collapsed="false">
      <c r="E314" s="7"/>
    </row>
    <row r="315" customFormat="false" ht="13.8" hidden="false" customHeight="false" outlineLevel="0" collapsed="false">
      <c r="E315" s="7"/>
    </row>
    <row r="316" customFormat="false" ht="13.8" hidden="false" customHeight="false" outlineLevel="0" collapsed="false">
      <c r="E316" s="7"/>
    </row>
    <row r="317" customFormat="false" ht="13.8" hidden="false" customHeight="false" outlineLevel="0" collapsed="false">
      <c r="E317" s="7"/>
    </row>
    <row r="318" customFormat="false" ht="13.8" hidden="false" customHeight="false" outlineLevel="0" collapsed="false">
      <c r="E318" s="7"/>
    </row>
    <row r="319" customFormat="false" ht="13.8" hidden="false" customHeight="false" outlineLevel="0" collapsed="false">
      <c r="E319" s="7"/>
    </row>
    <row r="320" customFormat="false" ht="13.8" hidden="false" customHeight="false" outlineLevel="0" collapsed="false">
      <c r="E320" s="7"/>
    </row>
    <row r="321" customFormat="false" ht="13.8" hidden="false" customHeight="false" outlineLevel="0" collapsed="false">
      <c r="E321" s="7"/>
    </row>
    <row r="322" customFormat="false" ht="13.8" hidden="false" customHeight="false" outlineLevel="0" collapsed="false">
      <c r="E322" s="7"/>
    </row>
    <row r="323" customFormat="false" ht="13.8" hidden="false" customHeight="false" outlineLevel="0" collapsed="false">
      <c r="E323" s="7"/>
    </row>
    <row r="324" customFormat="false" ht="13.8" hidden="false" customHeight="false" outlineLevel="0" collapsed="false">
      <c r="E324" s="7"/>
    </row>
    <row r="325" customFormat="false" ht="13.8" hidden="false" customHeight="false" outlineLevel="0" collapsed="false">
      <c r="E325" s="7"/>
    </row>
    <row r="326" customFormat="false" ht="13.8" hidden="false" customHeight="false" outlineLevel="0" collapsed="false">
      <c r="E326" s="7"/>
    </row>
    <row r="327" customFormat="false" ht="13.8" hidden="false" customHeight="false" outlineLevel="0" collapsed="false">
      <c r="E327" s="7"/>
    </row>
    <row r="328" customFormat="false" ht="13.8" hidden="false" customHeight="false" outlineLevel="0" collapsed="false">
      <c r="E328" s="7"/>
    </row>
    <row r="329" customFormat="false" ht="13.8" hidden="false" customHeight="false" outlineLevel="0" collapsed="false">
      <c r="E329" s="7"/>
    </row>
    <row r="330" customFormat="false" ht="13.8" hidden="false" customHeight="false" outlineLevel="0" collapsed="false">
      <c r="E330" s="7"/>
    </row>
    <row r="331" customFormat="false" ht="13.8" hidden="false" customHeight="false" outlineLevel="0" collapsed="false">
      <c r="E331" s="7"/>
    </row>
    <row r="332" customFormat="false" ht="13.8" hidden="false" customHeight="false" outlineLevel="0" collapsed="false">
      <c r="E332" s="7"/>
    </row>
    <row r="333" customFormat="false" ht="13.8" hidden="false" customHeight="false" outlineLevel="0" collapsed="false">
      <c r="E333" s="7"/>
    </row>
    <row r="334" customFormat="false" ht="13.8" hidden="false" customHeight="false" outlineLevel="0" collapsed="false">
      <c r="E334" s="7"/>
    </row>
    <row r="335" customFormat="false" ht="13.8" hidden="false" customHeight="false" outlineLevel="0" collapsed="false">
      <c r="E335" s="7"/>
    </row>
    <row r="336" customFormat="false" ht="13.8" hidden="false" customHeight="false" outlineLevel="0" collapsed="false">
      <c r="E336" s="7"/>
    </row>
    <row r="337" customFormat="false" ht="13.8" hidden="false" customHeight="false" outlineLevel="0" collapsed="false">
      <c r="E337" s="7"/>
    </row>
    <row r="338" customFormat="false" ht="13.8" hidden="false" customHeight="false" outlineLevel="0" collapsed="false">
      <c r="E338" s="7"/>
    </row>
    <row r="339" customFormat="false" ht="13.8" hidden="false" customHeight="false" outlineLevel="0" collapsed="false">
      <c r="E339" s="7"/>
    </row>
    <row r="340" customFormat="false" ht="13.8" hidden="false" customHeight="false" outlineLevel="0" collapsed="false">
      <c r="E340" s="7"/>
    </row>
    <row r="341" customFormat="false" ht="13.8" hidden="false" customHeight="false" outlineLevel="0" collapsed="false">
      <c r="E341" s="7"/>
    </row>
    <row r="342" customFormat="false" ht="13.8" hidden="false" customHeight="false" outlineLevel="0" collapsed="false">
      <c r="E342" s="7"/>
    </row>
    <row r="343" customFormat="false" ht="13.8" hidden="false" customHeight="false" outlineLevel="0" collapsed="false">
      <c r="E343" s="7"/>
    </row>
    <row r="344" customFormat="false" ht="13.8" hidden="false" customHeight="false" outlineLevel="0" collapsed="false">
      <c r="E344" s="7"/>
    </row>
    <row r="345" customFormat="false" ht="13.8" hidden="false" customHeight="false" outlineLevel="0" collapsed="false">
      <c r="E345" s="7"/>
    </row>
    <row r="346" customFormat="false" ht="13.8" hidden="false" customHeight="false" outlineLevel="0" collapsed="false">
      <c r="E346" s="7"/>
    </row>
    <row r="347" customFormat="false" ht="13.8" hidden="false" customHeight="false" outlineLevel="0" collapsed="false">
      <c r="E347" s="7"/>
    </row>
    <row r="348" customFormat="false" ht="13.8" hidden="false" customHeight="false" outlineLevel="0" collapsed="false">
      <c r="E348" s="7"/>
    </row>
    <row r="349" customFormat="false" ht="13.8" hidden="false" customHeight="false" outlineLevel="0" collapsed="false">
      <c r="E349" s="7"/>
    </row>
    <row r="350" customFormat="false" ht="13.8" hidden="false" customHeight="false" outlineLevel="0" collapsed="false">
      <c r="E350" s="7"/>
    </row>
    <row r="351" customFormat="false" ht="13.8" hidden="false" customHeight="false" outlineLevel="0" collapsed="false">
      <c r="E351" s="7"/>
    </row>
    <row r="352" customFormat="false" ht="13.8" hidden="false" customHeight="false" outlineLevel="0" collapsed="false">
      <c r="E352" s="7"/>
    </row>
    <row r="353" customFormat="false" ht="13.8" hidden="false" customHeight="false" outlineLevel="0" collapsed="false">
      <c r="E353" s="7"/>
    </row>
    <row r="354" customFormat="false" ht="13.8" hidden="false" customHeight="false" outlineLevel="0" collapsed="false">
      <c r="E354" s="7"/>
    </row>
    <row r="355" customFormat="false" ht="13.8" hidden="false" customHeight="false" outlineLevel="0" collapsed="false">
      <c r="E355" s="7"/>
    </row>
    <row r="356" customFormat="false" ht="13.8" hidden="false" customHeight="false" outlineLevel="0" collapsed="false">
      <c r="E356" s="7"/>
    </row>
    <row r="357" customFormat="false" ht="13.8" hidden="false" customHeight="false" outlineLevel="0" collapsed="false">
      <c r="E357" s="7"/>
    </row>
    <row r="358" customFormat="false" ht="13.8" hidden="false" customHeight="false" outlineLevel="0" collapsed="false">
      <c r="E358" s="7"/>
    </row>
    <row r="359" customFormat="false" ht="13.8" hidden="false" customHeight="false" outlineLevel="0" collapsed="false">
      <c r="E359" s="7"/>
    </row>
    <row r="360" customFormat="false" ht="13.8" hidden="false" customHeight="false" outlineLevel="0" collapsed="false">
      <c r="E360" s="7"/>
    </row>
    <row r="361" customFormat="false" ht="13.8" hidden="false" customHeight="false" outlineLevel="0" collapsed="false">
      <c r="E361" s="7"/>
    </row>
    <row r="362" customFormat="false" ht="13.8" hidden="false" customHeight="false" outlineLevel="0" collapsed="false">
      <c r="E362" s="7"/>
    </row>
    <row r="363" customFormat="false" ht="13.8" hidden="false" customHeight="false" outlineLevel="0" collapsed="false">
      <c r="E363" s="7"/>
    </row>
    <row r="364" customFormat="false" ht="13.8" hidden="false" customHeight="false" outlineLevel="0" collapsed="false">
      <c r="E364" s="7"/>
    </row>
    <row r="365" customFormat="false" ht="13.8" hidden="false" customHeight="false" outlineLevel="0" collapsed="false">
      <c r="E365" s="7"/>
    </row>
    <row r="366" customFormat="false" ht="13.8" hidden="false" customHeight="false" outlineLevel="0" collapsed="false">
      <c r="E366" s="7"/>
    </row>
    <row r="367" customFormat="false" ht="13.8" hidden="false" customHeight="false" outlineLevel="0" collapsed="false">
      <c r="E367" s="7"/>
    </row>
    <row r="368" customFormat="false" ht="13.8" hidden="false" customHeight="false" outlineLevel="0" collapsed="false">
      <c r="E368" s="7"/>
    </row>
    <row r="369" customFormat="false" ht="13.8" hidden="false" customHeight="false" outlineLevel="0" collapsed="false">
      <c r="E369" s="7"/>
    </row>
    <row r="370" customFormat="false" ht="13.8" hidden="false" customHeight="false" outlineLevel="0" collapsed="false">
      <c r="E370" s="7"/>
    </row>
    <row r="371" customFormat="false" ht="13.8" hidden="false" customHeight="false" outlineLevel="0" collapsed="false">
      <c r="E371" s="7"/>
    </row>
    <row r="372" customFormat="false" ht="13.8" hidden="false" customHeight="false" outlineLevel="0" collapsed="false">
      <c r="E372" s="7"/>
    </row>
    <row r="373" customFormat="false" ht="13.8" hidden="false" customHeight="false" outlineLevel="0" collapsed="false">
      <c r="E373" s="7"/>
    </row>
    <row r="374" customFormat="false" ht="13.8" hidden="false" customHeight="false" outlineLevel="0" collapsed="false">
      <c r="E374" s="7"/>
    </row>
    <row r="375" customFormat="false" ht="13.8" hidden="false" customHeight="false" outlineLevel="0" collapsed="false">
      <c r="E375" s="7"/>
    </row>
    <row r="376" customFormat="false" ht="13.8" hidden="false" customHeight="false" outlineLevel="0" collapsed="false">
      <c r="E376" s="7"/>
    </row>
    <row r="377" customFormat="false" ht="13.8" hidden="false" customHeight="false" outlineLevel="0" collapsed="false">
      <c r="E377" s="7"/>
    </row>
    <row r="378" customFormat="false" ht="13.8" hidden="false" customHeight="false" outlineLevel="0" collapsed="false">
      <c r="E378" s="7"/>
    </row>
    <row r="379" customFormat="false" ht="13.8" hidden="false" customHeight="false" outlineLevel="0" collapsed="false">
      <c r="E379" s="7"/>
    </row>
    <row r="380" customFormat="false" ht="13.8" hidden="false" customHeight="false" outlineLevel="0" collapsed="false">
      <c r="E380" s="7"/>
    </row>
    <row r="381" customFormat="false" ht="13.8" hidden="false" customHeight="false" outlineLevel="0" collapsed="false">
      <c r="E381" s="7"/>
    </row>
    <row r="382" customFormat="false" ht="13.8" hidden="false" customHeight="false" outlineLevel="0" collapsed="false">
      <c r="E382" s="7"/>
    </row>
    <row r="383" customFormat="false" ht="13.8" hidden="false" customHeight="false" outlineLevel="0" collapsed="false">
      <c r="E383" s="7"/>
    </row>
    <row r="384" customFormat="false" ht="13.8" hidden="false" customHeight="false" outlineLevel="0" collapsed="false">
      <c r="E384" s="7"/>
    </row>
    <row r="385" customFormat="false" ht="13.8" hidden="false" customHeight="false" outlineLevel="0" collapsed="false">
      <c r="E385" s="7"/>
    </row>
    <row r="386" customFormat="false" ht="13.8" hidden="false" customHeight="false" outlineLevel="0" collapsed="false">
      <c r="E386" s="7"/>
    </row>
    <row r="387" customFormat="false" ht="13.8" hidden="false" customHeight="false" outlineLevel="0" collapsed="false">
      <c r="E387" s="7"/>
    </row>
    <row r="388" customFormat="false" ht="13.8" hidden="false" customHeight="false" outlineLevel="0" collapsed="false">
      <c r="E388" s="7"/>
    </row>
    <row r="389" customFormat="false" ht="13.8" hidden="false" customHeight="false" outlineLevel="0" collapsed="false">
      <c r="E389" s="7"/>
    </row>
    <row r="390" customFormat="false" ht="13.8" hidden="false" customHeight="false" outlineLevel="0" collapsed="false">
      <c r="E390" s="7"/>
    </row>
    <row r="391" customFormat="false" ht="13.8" hidden="false" customHeight="false" outlineLevel="0" collapsed="false">
      <c r="E391" s="7"/>
    </row>
    <row r="392" customFormat="false" ht="13.8" hidden="false" customHeight="false" outlineLevel="0" collapsed="false">
      <c r="E392" s="7"/>
    </row>
    <row r="393" customFormat="false" ht="13.8" hidden="false" customHeight="false" outlineLevel="0" collapsed="false">
      <c r="E393" s="7"/>
    </row>
    <row r="394" customFormat="false" ht="13.8" hidden="false" customHeight="false" outlineLevel="0" collapsed="false">
      <c r="E394" s="7"/>
    </row>
    <row r="395" customFormat="false" ht="13.8" hidden="false" customHeight="false" outlineLevel="0" collapsed="false">
      <c r="E395" s="7"/>
    </row>
    <row r="396" customFormat="false" ht="13.8" hidden="false" customHeight="false" outlineLevel="0" collapsed="false">
      <c r="E396" s="7"/>
    </row>
    <row r="397" customFormat="false" ht="13.8" hidden="false" customHeight="false" outlineLevel="0" collapsed="false">
      <c r="E397" s="7"/>
    </row>
    <row r="398" customFormat="false" ht="13.8" hidden="false" customHeight="false" outlineLevel="0" collapsed="false">
      <c r="E398" s="7"/>
    </row>
    <row r="399" customFormat="false" ht="13.8" hidden="false" customHeight="false" outlineLevel="0" collapsed="false">
      <c r="E399" s="7"/>
    </row>
    <row r="400" customFormat="false" ht="13.8" hidden="false" customHeight="false" outlineLevel="0" collapsed="false">
      <c r="E400" s="7"/>
    </row>
    <row r="401" customFormat="false" ht="13.8" hidden="false" customHeight="false" outlineLevel="0" collapsed="false">
      <c r="E401" s="7"/>
    </row>
    <row r="402" customFormat="false" ht="13.8" hidden="false" customHeight="false" outlineLevel="0" collapsed="false">
      <c r="E402" s="7"/>
    </row>
    <row r="403" customFormat="false" ht="13.8" hidden="false" customHeight="false" outlineLevel="0" collapsed="false">
      <c r="E403" s="7"/>
    </row>
    <row r="404" customFormat="false" ht="13.8" hidden="false" customHeight="false" outlineLevel="0" collapsed="false">
      <c r="E404" s="7"/>
    </row>
    <row r="405" customFormat="false" ht="13.8" hidden="false" customHeight="false" outlineLevel="0" collapsed="false">
      <c r="E405" s="7"/>
    </row>
    <row r="406" customFormat="false" ht="13.8" hidden="false" customHeight="false" outlineLevel="0" collapsed="false">
      <c r="E406" s="7"/>
    </row>
    <row r="407" customFormat="false" ht="13.8" hidden="false" customHeight="false" outlineLevel="0" collapsed="false">
      <c r="E407" s="7"/>
    </row>
    <row r="408" customFormat="false" ht="13.8" hidden="false" customHeight="false" outlineLevel="0" collapsed="false">
      <c r="E408" s="7"/>
    </row>
    <row r="409" customFormat="false" ht="13.8" hidden="false" customHeight="false" outlineLevel="0" collapsed="false">
      <c r="E409" s="7"/>
    </row>
    <row r="410" customFormat="false" ht="13.8" hidden="false" customHeight="false" outlineLevel="0" collapsed="false">
      <c r="E410" s="7"/>
    </row>
    <row r="411" customFormat="false" ht="13.8" hidden="false" customHeight="false" outlineLevel="0" collapsed="false">
      <c r="E411" s="7"/>
    </row>
    <row r="412" customFormat="false" ht="13.8" hidden="false" customHeight="false" outlineLevel="0" collapsed="false">
      <c r="E412" s="7"/>
    </row>
    <row r="413" customFormat="false" ht="13.8" hidden="false" customHeight="false" outlineLevel="0" collapsed="false">
      <c r="E413" s="7"/>
    </row>
    <row r="414" customFormat="false" ht="13.8" hidden="false" customHeight="false" outlineLevel="0" collapsed="false">
      <c r="E414" s="7"/>
    </row>
    <row r="415" customFormat="false" ht="13.8" hidden="false" customHeight="false" outlineLevel="0" collapsed="false">
      <c r="E415" s="7"/>
    </row>
    <row r="416" customFormat="false" ht="13.8" hidden="false" customHeight="false" outlineLevel="0" collapsed="false">
      <c r="E416" s="7"/>
    </row>
    <row r="417" customFormat="false" ht="13.8" hidden="false" customHeight="false" outlineLevel="0" collapsed="false">
      <c r="E417" s="7"/>
    </row>
    <row r="418" customFormat="false" ht="13.8" hidden="false" customHeight="false" outlineLevel="0" collapsed="false">
      <c r="E418" s="7"/>
    </row>
    <row r="419" customFormat="false" ht="13.8" hidden="false" customHeight="false" outlineLevel="0" collapsed="false">
      <c r="E419" s="7"/>
    </row>
    <row r="420" customFormat="false" ht="13.8" hidden="false" customHeight="false" outlineLevel="0" collapsed="false">
      <c r="E420" s="7"/>
    </row>
    <row r="421" customFormat="false" ht="13.8" hidden="false" customHeight="false" outlineLevel="0" collapsed="false">
      <c r="E421" s="7"/>
    </row>
    <row r="422" customFormat="false" ht="13.8" hidden="false" customHeight="false" outlineLevel="0" collapsed="false">
      <c r="E422" s="7"/>
    </row>
    <row r="423" customFormat="false" ht="13.8" hidden="false" customHeight="false" outlineLevel="0" collapsed="false">
      <c r="E423" s="7"/>
    </row>
    <row r="424" customFormat="false" ht="13.8" hidden="false" customHeight="false" outlineLevel="0" collapsed="false">
      <c r="E424" s="7"/>
    </row>
    <row r="425" customFormat="false" ht="13.8" hidden="false" customHeight="false" outlineLevel="0" collapsed="false">
      <c r="E425" s="7"/>
    </row>
    <row r="426" customFormat="false" ht="13.8" hidden="false" customHeight="false" outlineLevel="0" collapsed="false">
      <c r="E426" s="7"/>
    </row>
    <row r="427" customFormat="false" ht="13.8" hidden="false" customHeight="false" outlineLevel="0" collapsed="false">
      <c r="E427" s="7"/>
    </row>
    <row r="428" customFormat="false" ht="13.8" hidden="false" customHeight="false" outlineLevel="0" collapsed="false">
      <c r="E428" s="7"/>
    </row>
    <row r="429" customFormat="false" ht="13.8" hidden="false" customHeight="false" outlineLevel="0" collapsed="false">
      <c r="E429" s="7"/>
    </row>
    <row r="430" customFormat="false" ht="13.8" hidden="false" customHeight="false" outlineLevel="0" collapsed="false">
      <c r="E430" s="7"/>
    </row>
    <row r="431" customFormat="false" ht="13.8" hidden="false" customHeight="false" outlineLevel="0" collapsed="false">
      <c r="E431" s="7"/>
    </row>
    <row r="432" customFormat="false" ht="13.8" hidden="false" customHeight="false" outlineLevel="0" collapsed="false">
      <c r="E432" s="7"/>
    </row>
    <row r="433" customFormat="false" ht="13.8" hidden="false" customHeight="false" outlineLevel="0" collapsed="false">
      <c r="E433" s="7"/>
    </row>
    <row r="434" customFormat="false" ht="13.8" hidden="false" customHeight="false" outlineLevel="0" collapsed="false">
      <c r="E434" s="7"/>
    </row>
    <row r="435" customFormat="false" ht="13.8" hidden="false" customHeight="false" outlineLevel="0" collapsed="false">
      <c r="E435" s="7"/>
    </row>
    <row r="436" customFormat="false" ht="13.8" hidden="false" customHeight="false" outlineLevel="0" collapsed="false">
      <c r="E436" s="7"/>
    </row>
    <row r="437" customFormat="false" ht="13.8" hidden="false" customHeight="false" outlineLevel="0" collapsed="false">
      <c r="E437" s="7"/>
    </row>
    <row r="438" customFormat="false" ht="13.8" hidden="false" customHeight="false" outlineLevel="0" collapsed="false">
      <c r="E438" s="7"/>
    </row>
    <row r="439" customFormat="false" ht="13.8" hidden="false" customHeight="false" outlineLevel="0" collapsed="false">
      <c r="E439" s="7"/>
    </row>
    <row r="440" customFormat="false" ht="13.8" hidden="false" customHeight="false" outlineLevel="0" collapsed="false">
      <c r="E440" s="7"/>
    </row>
    <row r="441" customFormat="false" ht="13.8" hidden="false" customHeight="false" outlineLevel="0" collapsed="false">
      <c r="E441" s="7"/>
    </row>
    <row r="442" customFormat="false" ht="13.8" hidden="false" customHeight="false" outlineLevel="0" collapsed="false">
      <c r="E442" s="7"/>
    </row>
    <row r="443" customFormat="false" ht="13.8" hidden="false" customHeight="false" outlineLevel="0" collapsed="false">
      <c r="E443" s="7"/>
    </row>
    <row r="444" customFormat="false" ht="13.8" hidden="false" customHeight="false" outlineLevel="0" collapsed="false">
      <c r="E444" s="7"/>
    </row>
    <row r="445" customFormat="false" ht="13.8" hidden="false" customHeight="false" outlineLevel="0" collapsed="false">
      <c r="E445" s="7"/>
    </row>
    <row r="446" customFormat="false" ht="13.8" hidden="false" customHeight="false" outlineLevel="0" collapsed="false">
      <c r="E446" s="7"/>
    </row>
    <row r="447" customFormat="false" ht="13.8" hidden="false" customHeight="false" outlineLevel="0" collapsed="false">
      <c r="E447" s="7"/>
    </row>
    <row r="448" customFormat="false" ht="13.8" hidden="false" customHeight="false" outlineLevel="0" collapsed="false">
      <c r="E448" s="7"/>
    </row>
    <row r="449" customFormat="false" ht="13.8" hidden="false" customHeight="false" outlineLevel="0" collapsed="false">
      <c r="E449" s="7"/>
    </row>
    <row r="450" customFormat="false" ht="13.8" hidden="false" customHeight="false" outlineLevel="0" collapsed="false">
      <c r="E450" s="7"/>
    </row>
    <row r="451" customFormat="false" ht="13.8" hidden="false" customHeight="false" outlineLevel="0" collapsed="false">
      <c r="E451" s="7"/>
    </row>
    <row r="452" customFormat="false" ht="13.8" hidden="false" customHeight="false" outlineLevel="0" collapsed="false">
      <c r="E452" s="7"/>
    </row>
    <row r="453" customFormat="false" ht="13.8" hidden="false" customHeight="false" outlineLevel="0" collapsed="false">
      <c r="E453" s="7"/>
    </row>
    <row r="454" customFormat="false" ht="13.8" hidden="false" customHeight="false" outlineLevel="0" collapsed="false">
      <c r="E454" s="7"/>
    </row>
    <row r="455" customFormat="false" ht="13.8" hidden="false" customHeight="false" outlineLevel="0" collapsed="false">
      <c r="E455" s="7"/>
    </row>
    <row r="456" customFormat="false" ht="13.8" hidden="false" customHeight="false" outlineLevel="0" collapsed="false">
      <c r="E456" s="7"/>
    </row>
    <row r="457" customFormat="false" ht="13.8" hidden="false" customHeight="false" outlineLevel="0" collapsed="false">
      <c r="E457" s="7"/>
    </row>
    <row r="458" customFormat="false" ht="13.8" hidden="false" customHeight="false" outlineLevel="0" collapsed="false">
      <c r="E458" s="7"/>
    </row>
    <row r="459" customFormat="false" ht="13.8" hidden="false" customHeight="false" outlineLevel="0" collapsed="false">
      <c r="E459" s="7"/>
    </row>
    <row r="460" customFormat="false" ht="13.8" hidden="false" customHeight="false" outlineLevel="0" collapsed="false">
      <c r="E460" s="7"/>
    </row>
    <row r="461" customFormat="false" ht="13.8" hidden="false" customHeight="false" outlineLevel="0" collapsed="false">
      <c r="E461" s="7"/>
    </row>
    <row r="462" customFormat="false" ht="13.8" hidden="false" customHeight="false" outlineLevel="0" collapsed="false">
      <c r="E462" s="7"/>
    </row>
    <row r="463" customFormat="false" ht="13.8" hidden="false" customHeight="false" outlineLevel="0" collapsed="false">
      <c r="E463" s="7"/>
    </row>
    <row r="464" customFormat="false" ht="13.8" hidden="false" customHeight="false" outlineLevel="0" collapsed="false">
      <c r="E464" s="7"/>
    </row>
    <row r="465" customFormat="false" ht="13.8" hidden="false" customHeight="false" outlineLevel="0" collapsed="false">
      <c r="E465" s="7"/>
    </row>
    <row r="466" customFormat="false" ht="13.8" hidden="false" customHeight="false" outlineLevel="0" collapsed="false">
      <c r="E466" s="7"/>
    </row>
    <row r="467" customFormat="false" ht="13.8" hidden="false" customHeight="false" outlineLevel="0" collapsed="false">
      <c r="E467" s="7"/>
    </row>
    <row r="468" customFormat="false" ht="13.8" hidden="false" customHeight="false" outlineLevel="0" collapsed="false">
      <c r="E468" s="7"/>
    </row>
    <row r="469" customFormat="false" ht="13.8" hidden="false" customHeight="false" outlineLevel="0" collapsed="false">
      <c r="E469" s="7"/>
    </row>
    <row r="470" customFormat="false" ht="13.8" hidden="false" customHeight="false" outlineLevel="0" collapsed="false">
      <c r="E470" s="7"/>
    </row>
    <row r="471" customFormat="false" ht="13.8" hidden="false" customHeight="false" outlineLevel="0" collapsed="false">
      <c r="E471" s="7"/>
    </row>
    <row r="472" customFormat="false" ht="13.8" hidden="false" customHeight="false" outlineLevel="0" collapsed="false">
      <c r="E472" s="7"/>
    </row>
    <row r="473" customFormat="false" ht="13.8" hidden="false" customHeight="false" outlineLevel="0" collapsed="false">
      <c r="E473" s="7"/>
    </row>
    <row r="474" customFormat="false" ht="13.8" hidden="false" customHeight="false" outlineLevel="0" collapsed="false">
      <c r="E474" s="7"/>
    </row>
    <row r="475" customFormat="false" ht="13.8" hidden="false" customHeight="false" outlineLevel="0" collapsed="false">
      <c r="E475" s="7"/>
    </row>
    <row r="476" customFormat="false" ht="13.8" hidden="false" customHeight="false" outlineLevel="0" collapsed="false">
      <c r="E476" s="7"/>
    </row>
    <row r="477" customFormat="false" ht="13.8" hidden="false" customHeight="false" outlineLevel="0" collapsed="false">
      <c r="E477" s="7"/>
    </row>
    <row r="478" customFormat="false" ht="13.8" hidden="false" customHeight="false" outlineLevel="0" collapsed="false">
      <c r="E478" s="7"/>
    </row>
    <row r="479" customFormat="false" ht="13.8" hidden="false" customHeight="false" outlineLevel="0" collapsed="false">
      <c r="E479" s="7"/>
    </row>
    <row r="480" customFormat="false" ht="13.8" hidden="false" customHeight="false" outlineLevel="0" collapsed="false">
      <c r="E480" s="7"/>
    </row>
    <row r="481" customFormat="false" ht="13.8" hidden="false" customHeight="false" outlineLevel="0" collapsed="false">
      <c r="E481" s="7"/>
    </row>
    <row r="482" customFormat="false" ht="13.8" hidden="false" customHeight="false" outlineLevel="0" collapsed="false">
      <c r="E482" s="7"/>
    </row>
    <row r="483" customFormat="false" ht="13.8" hidden="false" customHeight="false" outlineLevel="0" collapsed="false">
      <c r="E483" s="7"/>
    </row>
    <row r="484" customFormat="false" ht="13.8" hidden="false" customHeight="false" outlineLevel="0" collapsed="false">
      <c r="E484" s="7"/>
    </row>
    <row r="485" customFormat="false" ht="13.8" hidden="false" customHeight="false" outlineLevel="0" collapsed="false">
      <c r="E485" s="7"/>
    </row>
    <row r="486" customFormat="false" ht="13.8" hidden="false" customHeight="false" outlineLevel="0" collapsed="false">
      <c r="E486" s="7"/>
    </row>
    <row r="487" customFormat="false" ht="13.8" hidden="false" customHeight="false" outlineLevel="0" collapsed="false">
      <c r="E487" s="7"/>
    </row>
    <row r="488" customFormat="false" ht="13.8" hidden="false" customHeight="false" outlineLevel="0" collapsed="false">
      <c r="E488" s="7"/>
    </row>
    <row r="489" customFormat="false" ht="13.8" hidden="false" customHeight="false" outlineLevel="0" collapsed="false">
      <c r="E489" s="7"/>
    </row>
    <row r="490" customFormat="false" ht="13.8" hidden="false" customHeight="false" outlineLevel="0" collapsed="false">
      <c r="E490" s="7"/>
    </row>
    <row r="491" customFormat="false" ht="13.8" hidden="false" customHeight="false" outlineLevel="0" collapsed="false">
      <c r="E491" s="7"/>
    </row>
    <row r="492" customFormat="false" ht="13.8" hidden="false" customHeight="false" outlineLevel="0" collapsed="false">
      <c r="E492" s="7"/>
    </row>
    <row r="493" customFormat="false" ht="13.8" hidden="false" customHeight="false" outlineLevel="0" collapsed="false">
      <c r="E493" s="7"/>
    </row>
    <row r="494" customFormat="false" ht="13.8" hidden="false" customHeight="false" outlineLevel="0" collapsed="false">
      <c r="E494" s="7"/>
    </row>
    <row r="495" customFormat="false" ht="13.8" hidden="false" customHeight="false" outlineLevel="0" collapsed="false">
      <c r="E495" s="7"/>
    </row>
    <row r="496" customFormat="false" ht="13.8" hidden="false" customHeight="false" outlineLevel="0" collapsed="false">
      <c r="E496" s="7"/>
    </row>
    <row r="497" customFormat="false" ht="13.8" hidden="false" customHeight="false" outlineLevel="0" collapsed="false">
      <c r="E497" s="7"/>
    </row>
    <row r="498" customFormat="false" ht="13.8" hidden="false" customHeight="false" outlineLevel="0" collapsed="false">
      <c r="E498" s="7"/>
    </row>
    <row r="499" customFormat="false" ht="13.8" hidden="false" customHeight="false" outlineLevel="0" collapsed="false">
      <c r="E499" s="7"/>
    </row>
    <row r="500" customFormat="false" ht="13.8" hidden="false" customHeight="false" outlineLevel="0" collapsed="false">
      <c r="E500" s="7"/>
    </row>
    <row r="501" customFormat="false" ht="13.8" hidden="false" customHeight="false" outlineLevel="0" collapsed="false">
      <c r="E501" s="7"/>
    </row>
    <row r="502" customFormat="false" ht="13.8" hidden="false" customHeight="false" outlineLevel="0" collapsed="false">
      <c r="E502" s="7"/>
    </row>
    <row r="503" customFormat="false" ht="13.8" hidden="false" customHeight="false" outlineLevel="0" collapsed="false">
      <c r="E503" s="7"/>
    </row>
    <row r="504" customFormat="false" ht="13.8" hidden="false" customHeight="false" outlineLevel="0" collapsed="false">
      <c r="E504" s="7"/>
    </row>
    <row r="505" customFormat="false" ht="13.8" hidden="false" customHeight="false" outlineLevel="0" collapsed="false">
      <c r="E505" s="7"/>
    </row>
    <row r="506" customFormat="false" ht="13.8" hidden="false" customHeight="false" outlineLevel="0" collapsed="false">
      <c r="E506" s="7"/>
    </row>
    <row r="507" customFormat="false" ht="13.8" hidden="false" customHeight="false" outlineLevel="0" collapsed="false">
      <c r="E507" s="7"/>
    </row>
    <row r="508" customFormat="false" ht="13.8" hidden="false" customHeight="false" outlineLevel="0" collapsed="false">
      <c r="E508" s="7"/>
    </row>
    <row r="509" customFormat="false" ht="13.8" hidden="false" customHeight="false" outlineLevel="0" collapsed="false">
      <c r="E509" s="7"/>
    </row>
    <row r="510" customFormat="false" ht="13.8" hidden="false" customHeight="false" outlineLevel="0" collapsed="false">
      <c r="E510" s="7"/>
    </row>
    <row r="511" customFormat="false" ht="13.8" hidden="false" customHeight="false" outlineLevel="0" collapsed="false">
      <c r="E511" s="7"/>
    </row>
    <row r="512" customFormat="false" ht="13.8" hidden="false" customHeight="false" outlineLevel="0" collapsed="false">
      <c r="E512" s="7"/>
    </row>
    <row r="513" customFormat="false" ht="13.8" hidden="false" customHeight="false" outlineLevel="0" collapsed="false">
      <c r="E513" s="7"/>
    </row>
    <row r="514" customFormat="false" ht="13.8" hidden="false" customHeight="false" outlineLevel="0" collapsed="false">
      <c r="E514" s="7"/>
    </row>
    <row r="515" customFormat="false" ht="13.8" hidden="false" customHeight="false" outlineLevel="0" collapsed="false">
      <c r="E515" s="7"/>
    </row>
    <row r="516" customFormat="false" ht="13.8" hidden="false" customHeight="false" outlineLevel="0" collapsed="false">
      <c r="E516" s="7"/>
    </row>
    <row r="517" customFormat="false" ht="13.8" hidden="false" customHeight="false" outlineLevel="0" collapsed="false">
      <c r="E517" s="7"/>
    </row>
    <row r="518" customFormat="false" ht="13.8" hidden="false" customHeight="false" outlineLevel="0" collapsed="false">
      <c r="E518" s="7"/>
    </row>
    <row r="519" customFormat="false" ht="13.8" hidden="false" customHeight="false" outlineLevel="0" collapsed="false">
      <c r="E519" s="7"/>
    </row>
    <row r="520" customFormat="false" ht="13.8" hidden="false" customHeight="false" outlineLevel="0" collapsed="false">
      <c r="E520" s="7"/>
    </row>
    <row r="521" customFormat="false" ht="13.8" hidden="false" customHeight="false" outlineLevel="0" collapsed="false">
      <c r="E521" s="7"/>
    </row>
    <row r="522" customFormat="false" ht="13.8" hidden="false" customHeight="false" outlineLevel="0" collapsed="false">
      <c r="E522" s="7"/>
    </row>
    <row r="523" customFormat="false" ht="13.8" hidden="false" customHeight="false" outlineLevel="0" collapsed="false">
      <c r="E523" s="7"/>
    </row>
    <row r="524" customFormat="false" ht="13.8" hidden="false" customHeight="false" outlineLevel="0" collapsed="false">
      <c r="E524" s="7"/>
    </row>
    <row r="525" customFormat="false" ht="13.8" hidden="false" customHeight="false" outlineLevel="0" collapsed="false">
      <c r="E525" s="7"/>
    </row>
    <row r="526" customFormat="false" ht="13.8" hidden="false" customHeight="false" outlineLevel="0" collapsed="false">
      <c r="E526" s="7"/>
    </row>
    <row r="527" customFormat="false" ht="13.8" hidden="false" customHeight="false" outlineLevel="0" collapsed="false">
      <c r="E527" s="7"/>
    </row>
    <row r="528" customFormat="false" ht="13.8" hidden="false" customHeight="false" outlineLevel="0" collapsed="false">
      <c r="E528" s="7"/>
    </row>
    <row r="529" customFormat="false" ht="13.8" hidden="false" customHeight="false" outlineLevel="0" collapsed="false">
      <c r="E529" s="7"/>
    </row>
    <row r="530" customFormat="false" ht="13.8" hidden="false" customHeight="false" outlineLevel="0" collapsed="false">
      <c r="E530" s="7"/>
    </row>
    <row r="531" customFormat="false" ht="13.8" hidden="false" customHeight="false" outlineLevel="0" collapsed="false">
      <c r="E531" s="7"/>
    </row>
    <row r="532" customFormat="false" ht="13.8" hidden="false" customHeight="false" outlineLevel="0" collapsed="false">
      <c r="E532" s="7"/>
    </row>
    <row r="533" customFormat="false" ht="13.8" hidden="false" customHeight="false" outlineLevel="0" collapsed="false">
      <c r="E533" s="7"/>
    </row>
    <row r="534" customFormat="false" ht="13.8" hidden="false" customHeight="false" outlineLevel="0" collapsed="false">
      <c r="E534" s="7"/>
    </row>
    <row r="535" customFormat="false" ht="13.8" hidden="false" customHeight="false" outlineLevel="0" collapsed="false">
      <c r="E535" s="7"/>
    </row>
    <row r="536" customFormat="false" ht="13.8" hidden="false" customHeight="false" outlineLevel="0" collapsed="false">
      <c r="E536" s="7"/>
    </row>
    <row r="537" customFormat="false" ht="13.8" hidden="false" customHeight="false" outlineLevel="0" collapsed="false">
      <c r="E537" s="7"/>
    </row>
    <row r="538" customFormat="false" ht="13.8" hidden="false" customHeight="false" outlineLevel="0" collapsed="false">
      <c r="E538" s="7"/>
    </row>
    <row r="539" customFormat="false" ht="13.8" hidden="false" customHeight="false" outlineLevel="0" collapsed="false">
      <c r="E539" s="7"/>
    </row>
    <row r="540" customFormat="false" ht="13.8" hidden="false" customHeight="false" outlineLevel="0" collapsed="false">
      <c r="E540" s="7"/>
    </row>
    <row r="541" customFormat="false" ht="13.8" hidden="false" customHeight="false" outlineLevel="0" collapsed="false">
      <c r="E541" s="7"/>
    </row>
    <row r="542" customFormat="false" ht="13.8" hidden="false" customHeight="false" outlineLevel="0" collapsed="false">
      <c r="E542" s="7"/>
    </row>
    <row r="543" customFormat="false" ht="13.8" hidden="false" customHeight="false" outlineLevel="0" collapsed="false">
      <c r="E543" s="7"/>
    </row>
    <row r="544" customFormat="false" ht="13.8" hidden="false" customHeight="false" outlineLevel="0" collapsed="false">
      <c r="E544" s="7"/>
    </row>
    <row r="545" customFormat="false" ht="13.8" hidden="false" customHeight="false" outlineLevel="0" collapsed="false">
      <c r="E545" s="7"/>
    </row>
    <row r="546" customFormat="false" ht="13.8" hidden="false" customHeight="false" outlineLevel="0" collapsed="false">
      <c r="E546" s="7"/>
    </row>
    <row r="547" customFormat="false" ht="13.8" hidden="false" customHeight="false" outlineLevel="0" collapsed="false">
      <c r="E547" s="7"/>
    </row>
    <row r="548" customFormat="false" ht="13.8" hidden="false" customHeight="false" outlineLevel="0" collapsed="false">
      <c r="E548" s="7"/>
    </row>
    <row r="549" customFormat="false" ht="13.8" hidden="false" customHeight="false" outlineLevel="0" collapsed="false">
      <c r="E549" s="7"/>
    </row>
    <row r="550" customFormat="false" ht="13.8" hidden="false" customHeight="false" outlineLevel="0" collapsed="false">
      <c r="E550" s="7"/>
    </row>
    <row r="551" customFormat="false" ht="13.8" hidden="false" customHeight="false" outlineLevel="0" collapsed="false">
      <c r="E551" s="7"/>
    </row>
    <row r="552" customFormat="false" ht="13.8" hidden="false" customHeight="false" outlineLevel="0" collapsed="false">
      <c r="E552" s="7"/>
    </row>
    <row r="553" customFormat="false" ht="13.8" hidden="false" customHeight="false" outlineLevel="0" collapsed="false">
      <c r="E553" s="7"/>
    </row>
    <row r="554" customFormat="false" ht="13.8" hidden="false" customHeight="false" outlineLevel="0" collapsed="false">
      <c r="E554" s="7"/>
    </row>
    <row r="555" customFormat="false" ht="13.8" hidden="false" customHeight="false" outlineLevel="0" collapsed="false">
      <c r="E555" s="7"/>
    </row>
    <row r="556" customFormat="false" ht="13.8" hidden="false" customHeight="false" outlineLevel="0" collapsed="false">
      <c r="E556" s="7"/>
    </row>
    <row r="557" customFormat="false" ht="13.8" hidden="false" customHeight="false" outlineLevel="0" collapsed="false">
      <c r="E557" s="7"/>
    </row>
    <row r="558" customFormat="false" ht="13.8" hidden="false" customHeight="false" outlineLevel="0" collapsed="false">
      <c r="E558" s="7"/>
    </row>
    <row r="559" customFormat="false" ht="13.8" hidden="false" customHeight="false" outlineLevel="0" collapsed="false">
      <c r="E559" s="7"/>
    </row>
    <row r="560" customFormat="false" ht="13.8" hidden="false" customHeight="false" outlineLevel="0" collapsed="false">
      <c r="E560" s="7"/>
    </row>
    <row r="561" customFormat="false" ht="13.8" hidden="false" customHeight="false" outlineLevel="0" collapsed="false">
      <c r="E561" s="7"/>
    </row>
    <row r="562" customFormat="false" ht="13.8" hidden="false" customHeight="false" outlineLevel="0" collapsed="false">
      <c r="E562" s="7"/>
    </row>
    <row r="563" customFormat="false" ht="13.8" hidden="false" customHeight="false" outlineLevel="0" collapsed="false">
      <c r="E563" s="7"/>
    </row>
    <row r="564" customFormat="false" ht="13.8" hidden="false" customHeight="false" outlineLevel="0" collapsed="false">
      <c r="E564" s="7"/>
    </row>
    <row r="565" customFormat="false" ht="13.8" hidden="false" customHeight="false" outlineLevel="0" collapsed="false">
      <c r="E565" s="7"/>
    </row>
    <row r="566" customFormat="false" ht="13.8" hidden="false" customHeight="false" outlineLevel="0" collapsed="false">
      <c r="E566" s="7"/>
    </row>
    <row r="567" customFormat="false" ht="13.8" hidden="false" customHeight="false" outlineLevel="0" collapsed="false">
      <c r="E567" s="7"/>
    </row>
    <row r="568" customFormat="false" ht="13.8" hidden="false" customHeight="false" outlineLevel="0" collapsed="false">
      <c r="E568" s="7"/>
    </row>
    <row r="569" customFormat="false" ht="13.8" hidden="false" customHeight="false" outlineLevel="0" collapsed="false">
      <c r="E569" s="7"/>
    </row>
    <row r="570" customFormat="false" ht="13.8" hidden="false" customHeight="false" outlineLevel="0" collapsed="false">
      <c r="E570" s="7"/>
    </row>
    <row r="571" customFormat="false" ht="13.8" hidden="false" customHeight="false" outlineLevel="0" collapsed="false">
      <c r="E571" s="7"/>
    </row>
    <row r="572" customFormat="false" ht="13.8" hidden="false" customHeight="false" outlineLevel="0" collapsed="false">
      <c r="E572" s="7"/>
    </row>
    <row r="573" customFormat="false" ht="13.8" hidden="false" customHeight="false" outlineLevel="0" collapsed="false">
      <c r="E573" s="7"/>
    </row>
    <row r="574" customFormat="false" ht="13.8" hidden="false" customHeight="false" outlineLevel="0" collapsed="false">
      <c r="E574" s="7"/>
    </row>
    <row r="575" customFormat="false" ht="13.8" hidden="false" customHeight="false" outlineLevel="0" collapsed="false">
      <c r="E575" s="7"/>
    </row>
    <row r="576" customFormat="false" ht="13.8" hidden="false" customHeight="false" outlineLevel="0" collapsed="false">
      <c r="E576" s="7"/>
    </row>
    <row r="577" customFormat="false" ht="13.8" hidden="false" customHeight="false" outlineLevel="0" collapsed="false">
      <c r="E577" s="7"/>
    </row>
    <row r="578" customFormat="false" ht="13.8" hidden="false" customHeight="false" outlineLevel="0" collapsed="false">
      <c r="E578" s="7"/>
    </row>
    <row r="579" customFormat="false" ht="13.8" hidden="false" customHeight="false" outlineLevel="0" collapsed="false">
      <c r="E579" s="7"/>
    </row>
    <row r="580" customFormat="false" ht="13.8" hidden="false" customHeight="false" outlineLevel="0" collapsed="false">
      <c r="E580" s="7"/>
    </row>
    <row r="581" customFormat="false" ht="13.8" hidden="false" customHeight="false" outlineLevel="0" collapsed="false">
      <c r="E581" s="7"/>
    </row>
    <row r="582" customFormat="false" ht="13.8" hidden="false" customHeight="false" outlineLevel="0" collapsed="false">
      <c r="E582" s="7"/>
    </row>
    <row r="583" customFormat="false" ht="13.8" hidden="false" customHeight="false" outlineLevel="0" collapsed="false">
      <c r="E583" s="7"/>
    </row>
    <row r="584" customFormat="false" ht="13.8" hidden="false" customHeight="false" outlineLevel="0" collapsed="false">
      <c r="E584" s="7"/>
    </row>
    <row r="585" customFormat="false" ht="13.8" hidden="false" customHeight="false" outlineLevel="0" collapsed="false">
      <c r="E585" s="7"/>
    </row>
    <row r="586" customFormat="false" ht="13.8" hidden="false" customHeight="false" outlineLevel="0" collapsed="false">
      <c r="E586" s="7"/>
    </row>
    <row r="587" customFormat="false" ht="13.8" hidden="false" customHeight="false" outlineLevel="0" collapsed="false">
      <c r="E587" s="7"/>
    </row>
    <row r="588" customFormat="false" ht="13.8" hidden="false" customHeight="false" outlineLevel="0" collapsed="false">
      <c r="E588" s="7"/>
    </row>
    <row r="589" customFormat="false" ht="13.8" hidden="false" customHeight="false" outlineLevel="0" collapsed="false">
      <c r="E589" s="7"/>
    </row>
    <row r="590" customFormat="false" ht="13.8" hidden="false" customHeight="false" outlineLevel="0" collapsed="false">
      <c r="E590" s="7"/>
    </row>
    <row r="591" customFormat="false" ht="13.8" hidden="false" customHeight="false" outlineLevel="0" collapsed="false">
      <c r="E591" s="7"/>
    </row>
    <row r="592" customFormat="false" ht="13.8" hidden="false" customHeight="false" outlineLevel="0" collapsed="false">
      <c r="E592" s="7"/>
    </row>
    <row r="593" customFormat="false" ht="13.8" hidden="false" customHeight="false" outlineLevel="0" collapsed="false">
      <c r="E593" s="7"/>
    </row>
    <row r="594" customFormat="false" ht="13.8" hidden="false" customHeight="false" outlineLevel="0" collapsed="false">
      <c r="E594" s="7"/>
    </row>
    <row r="595" customFormat="false" ht="13.8" hidden="false" customHeight="false" outlineLevel="0" collapsed="false">
      <c r="E595" s="7"/>
    </row>
    <row r="596" customFormat="false" ht="13.8" hidden="false" customHeight="false" outlineLevel="0" collapsed="false">
      <c r="E596" s="7"/>
    </row>
    <row r="597" customFormat="false" ht="13.8" hidden="false" customHeight="false" outlineLevel="0" collapsed="false">
      <c r="E597" s="7"/>
    </row>
    <row r="598" customFormat="false" ht="13.8" hidden="false" customHeight="false" outlineLevel="0" collapsed="false">
      <c r="E598" s="7"/>
    </row>
    <row r="599" customFormat="false" ht="13.8" hidden="false" customHeight="false" outlineLevel="0" collapsed="false">
      <c r="E599" s="7"/>
    </row>
    <row r="600" customFormat="false" ht="13.8" hidden="false" customHeight="false" outlineLevel="0" collapsed="false">
      <c r="E600" s="7"/>
    </row>
    <row r="601" customFormat="false" ht="13.8" hidden="false" customHeight="false" outlineLevel="0" collapsed="false">
      <c r="E601" s="7"/>
    </row>
    <row r="602" customFormat="false" ht="13.8" hidden="false" customHeight="false" outlineLevel="0" collapsed="false">
      <c r="E602" s="7"/>
    </row>
    <row r="603" customFormat="false" ht="13.8" hidden="false" customHeight="false" outlineLevel="0" collapsed="false">
      <c r="E603" s="7"/>
    </row>
    <row r="604" customFormat="false" ht="13.8" hidden="false" customHeight="false" outlineLevel="0" collapsed="false">
      <c r="E604" s="7"/>
    </row>
    <row r="605" customFormat="false" ht="13.8" hidden="false" customHeight="false" outlineLevel="0" collapsed="false">
      <c r="E605" s="7"/>
    </row>
    <row r="606" customFormat="false" ht="13.8" hidden="false" customHeight="false" outlineLevel="0" collapsed="false">
      <c r="E606" s="7"/>
    </row>
    <row r="607" customFormat="false" ht="13.8" hidden="false" customHeight="false" outlineLevel="0" collapsed="false">
      <c r="E607" s="7"/>
    </row>
    <row r="608" customFormat="false" ht="13.8" hidden="false" customHeight="false" outlineLevel="0" collapsed="false">
      <c r="E608" s="7"/>
    </row>
    <row r="609" customFormat="false" ht="13.8" hidden="false" customHeight="false" outlineLevel="0" collapsed="false">
      <c r="E609" s="7"/>
    </row>
    <row r="610" customFormat="false" ht="13.8" hidden="false" customHeight="false" outlineLevel="0" collapsed="false">
      <c r="E610" s="7"/>
    </row>
    <row r="611" customFormat="false" ht="13.8" hidden="false" customHeight="false" outlineLevel="0" collapsed="false">
      <c r="E611" s="7"/>
    </row>
    <row r="612" customFormat="false" ht="13.8" hidden="false" customHeight="false" outlineLevel="0" collapsed="false">
      <c r="E612" s="7"/>
    </row>
    <row r="613" customFormat="false" ht="13.8" hidden="false" customHeight="false" outlineLevel="0" collapsed="false">
      <c r="E613" s="7"/>
    </row>
    <row r="614" customFormat="false" ht="13.8" hidden="false" customHeight="false" outlineLevel="0" collapsed="false">
      <c r="E614" s="7"/>
    </row>
    <row r="615" customFormat="false" ht="13.8" hidden="false" customHeight="false" outlineLevel="0" collapsed="false">
      <c r="E615" s="7"/>
    </row>
    <row r="616" customFormat="false" ht="13.8" hidden="false" customHeight="false" outlineLevel="0" collapsed="false">
      <c r="E616" s="7"/>
    </row>
    <row r="617" customFormat="false" ht="13.8" hidden="false" customHeight="false" outlineLevel="0" collapsed="false">
      <c r="E617" s="7"/>
    </row>
    <row r="618" customFormat="false" ht="13.8" hidden="false" customHeight="false" outlineLevel="0" collapsed="false">
      <c r="E618" s="7"/>
    </row>
    <row r="619" customFormat="false" ht="13.8" hidden="false" customHeight="false" outlineLevel="0" collapsed="false">
      <c r="E619" s="7"/>
    </row>
    <row r="620" customFormat="false" ht="13.8" hidden="false" customHeight="false" outlineLevel="0" collapsed="false">
      <c r="E620" s="7"/>
    </row>
    <row r="621" customFormat="false" ht="13.8" hidden="false" customHeight="false" outlineLevel="0" collapsed="false">
      <c r="E621" s="7"/>
    </row>
    <row r="622" customFormat="false" ht="13.8" hidden="false" customHeight="false" outlineLevel="0" collapsed="false">
      <c r="E622" s="7"/>
    </row>
    <row r="623" customFormat="false" ht="13.8" hidden="false" customHeight="false" outlineLevel="0" collapsed="false">
      <c r="E623" s="7"/>
    </row>
    <row r="624" customFormat="false" ht="13.8" hidden="false" customHeight="false" outlineLevel="0" collapsed="false">
      <c r="E624" s="7"/>
    </row>
    <row r="625" customFormat="false" ht="13.8" hidden="false" customHeight="false" outlineLevel="0" collapsed="false">
      <c r="E625" s="7"/>
    </row>
    <row r="626" customFormat="false" ht="13.8" hidden="false" customHeight="false" outlineLevel="0" collapsed="false">
      <c r="E626" s="7"/>
    </row>
    <row r="627" customFormat="false" ht="13.8" hidden="false" customHeight="false" outlineLevel="0" collapsed="false">
      <c r="E627" s="7"/>
    </row>
    <row r="628" customFormat="false" ht="13.8" hidden="false" customHeight="false" outlineLevel="0" collapsed="false">
      <c r="E628" s="7"/>
    </row>
    <row r="629" customFormat="false" ht="13.8" hidden="false" customHeight="false" outlineLevel="0" collapsed="false">
      <c r="E629" s="7"/>
    </row>
    <row r="630" customFormat="false" ht="13.8" hidden="false" customHeight="false" outlineLevel="0" collapsed="false">
      <c r="E630" s="7"/>
    </row>
    <row r="631" customFormat="false" ht="13.8" hidden="false" customHeight="false" outlineLevel="0" collapsed="false">
      <c r="E631" s="7"/>
    </row>
    <row r="632" customFormat="false" ht="13.8" hidden="false" customHeight="false" outlineLevel="0" collapsed="false">
      <c r="E632" s="7"/>
    </row>
    <row r="633" customFormat="false" ht="13.8" hidden="false" customHeight="false" outlineLevel="0" collapsed="false">
      <c r="E633" s="7"/>
    </row>
    <row r="634" customFormat="false" ht="13.8" hidden="false" customHeight="false" outlineLevel="0" collapsed="false">
      <c r="E634" s="7"/>
    </row>
    <row r="635" customFormat="false" ht="13.8" hidden="false" customHeight="false" outlineLevel="0" collapsed="false">
      <c r="E635" s="7"/>
    </row>
    <row r="636" customFormat="false" ht="13.8" hidden="false" customHeight="false" outlineLevel="0" collapsed="false">
      <c r="E636" s="7"/>
    </row>
    <row r="637" customFormat="false" ht="13.8" hidden="false" customHeight="false" outlineLevel="0" collapsed="false">
      <c r="E637" s="7"/>
    </row>
    <row r="638" customFormat="false" ht="13.8" hidden="false" customHeight="false" outlineLevel="0" collapsed="false">
      <c r="E638" s="7"/>
    </row>
    <row r="639" customFormat="false" ht="13.8" hidden="false" customHeight="false" outlineLevel="0" collapsed="false">
      <c r="E639" s="7"/>
    </row>
    <row r="640" customFormat="false" ht="13.8" hidden="false" customHeight="false" outlineLevel="0" collapsed="false">
      <c r="E640" s="7"/>
    </row>
    <row r="641" customFormat="false" ht="13.8" hidden="false" customHeight="false" outlineLevel="0" collapsed="false">
      <c r="E641" s="7"/>
    </row>
    <row r="642" customFormat="false" ht="13.8" hidden="false" customHeight="false" outlineLevel="0" collapsed="false">
      <c r="E642" s="7"/>
    </row>
    <row r="643" customFormat="false" ht="13.8" hidden="false" customHeight="false" outlineLevel="0" collapsed="false">
      <c r="E643" s="7"/>
    </row>
    <row r="644" customFormat="false" ht="13.8" hidden="false" customHeight="false" outlineLevel="0" collapsed="false">
      <c r="E644" s="7"/>
    </row>
    <row r="645" customFormat="false" ht="13.8" hidden="false" customHeight="false" outlineLevel="0" collapsed="false">
      <c r="E645" s="7"/>
    </row>
    <row r="646" customFormat="false" ht="13.8" hidden="false" customHeight="false" outlineLevel="0" collapsed="false">
      <c r="E646" s="7"/>
    </row>
    <row r="647" customFormat="false" ht="13.8" hidden="false" customHeight="false" outlineLevel="0" collapsed="false">
      <c r="E647" s="7"/>
    </row>
    <row r="648" customFormat="false" ht="13.8" hidden="false" customHeight="false" outlineLevel="0" collapsed="false">
      <c r="E648" s="7"/>
    </row>
    <row r="649" customFormat="false" ht="13.8" hidden="false" customHeight="false" outlineLevel="0" collapsed="false">
      <c r="E649" s="7"/>
    </row>
    <row r="650" customFormat="false" ht="13.8" hidden="false" customHeight="false" outlineLevel="0" collapsed="false">
      <c r="E650" s="7"/>
    </row>
    <row r="651" customFormat="false" ht="13.8" hidden="false" customHeight="false" outlineLevel="0" collapsed="false">
      <c r="E651" s="7"/>
    </row>
    <row r="652" customFormat="false" ht="13.8" hidden="false" customHeight="false" outlineLevel="0" collapsed="false">
      <c r="E652" s="7"/>
    </row>
    <row r="653" customFormat="false" ht="13.8" hidden="false" customHeight="false" outlineLevel="0" collapsed="false">
      <c r="E653" s="7"/>
    </row>
    <row r="654" customFormat="false" ht="13.8" hidden="false" customHeight="false" outlineLevel="0" collapsed="false">
      <c r="E654" s="7"/>
    </row>
    <row r="655" customFormat="false" ht="13.8" hidden="false" customHeight="false" outlineLevel="0" collapsed="false">
      <c r="E655" s="7"/>
    </row>
    <row r="656" customFormat="false" ht="13.8" hidden="false" customHeight="false" outlineLevel="0" collapsed="false">
      <c r="E656" s="7"/>
    </row>
    <row r="657" customFormat="false" ht="13.8" hidden="false" customHeight="false" outlineLevel="0" collapsed="false">
      <c r="E657" s="7"/>
    </row>
    <row r="658" customFormat="false" ht="13.8" hidden="false" customHeight="false" outlineLevel="0" collapsed="false">
      <c r="E658" s="7"/>
    </row>
    <row r="659" customFormat="false" ht="13.8" hidden="false" customHeight="false" outlineLevel="0" collapsed="false">
      <c r="E659" s="7"/>
    </row>
    <row r="660" customFormat="false" ht="13.8" hidden="false" customHeight="false" outlineLevel="0" collapsed="false">
      <c r="E660" s="7"/>
    </row>
    <row r="661" customFormat="false" ht="13.8" hidden="false" customHeight="false" outlineLevel="0" collapsed="false">
      <c r="E661" s="7"/>
    </row>
    <row r="662" customFormat="false" ht="13.8" hidden="false" customHeight="false" outlineLevel="0" collapsed="false">
      <c r="E662" s="7"/>
    </row>
    <row r="663" customFormat="false" ht="13.8" hidden="false" customHeight="false" outlineLevel="0" collapsed="false">
      <c r="E663" s="7"/>
    </row>
    <row r="664" customFormat="false" ht="13.8" hidden="false" customHeight="false" outlineLevel="0" collapsed="false">
      <c r="E664" s="7"/>
    </row>
    <row r="665" customFormat="false" ht="13.8" hidden="false" customHeight="false" outlineLevel="0" collapsed="false">
      <c r="E665" s="7"/>
    </row>
    <row r="666" customFormat="false" ht="13.8" hidden="false" customHeight="false" outlineLevel="0" collapsed="false">
      <c r="E666" s="7"/>
    </row>
    <row r="667" customFormat="false" ht="13.8" hidden="false" customHeight="false" outlineLevel="0" collapsed="false">
      <c r="E667" s="7"/>
    </row>
    <row r="668" customFormat="false" ht="13.8" hidden="false" customHeight="false" outlineLevel="0" collapsed="false">
      <c r="E668" s="7"/>
    </row>
    <row r="669" customFormat="false" ht="13.8" hidden="false" customHeight="false" outlineLevel="0" collapsed="false">
      <c r="E669" s="7"/>
    </row>
    <row r="670" customFormat="false" ht="13.8" hidden="false" customHeight="false" outlineLevel="0" collapsed="false">
      <c r="E670" s="7"/>
    </row>
    <row r="671" customFormat="false" ht="13.8" hidden="false" customHeight="false" outlineLevel="0" collapsed="false">
      <c r="E671" s="7"/>
    </row>
    <row r="672" customFormat="false" ht="13.8" hidden="false" customHeight="false" outlineLevel="0" collapsed="false">
      <c r="E672" s="7"/>
    </row>
    <row r="673" customFormat="false" ht="13.8" hidden="false" customHeight="false" outlineLevel="0" collapsed="false">
      <c r="E673" s="7"/>
    </row>
    <row r="674" customFormat="false" ht="13.8" hidden="false" customHeight="false" outlineLevel="0" collapsed="false">
      <c r="E674" s="7"/>
    </row>
    <row r="675" customFormat="false" ht="13.8" hidden="false" customHeight="false" outlineLevel="0" collapsed="false">
      <c r="E675" s="7"/>
    </row>
    <row r="676" customFormat="false" ht="13.8" hidden="false" customHeight="false" outlineLevel="0" collapsed="false">
      <c r="E676" s="7"/>
    </row>
    <row r="677" customFormat="false" ht="13.8" hidden="false" customHeight="false" outlineLevel="0" collapsed="false">
      <c r="E677" s="7"/>
    </row>
    <row r="678" customFormat="false" ht="13.8" hidden="false" customHeight="false" outlineLevel="0" collapsed="false">
      <c r="E678" s="7"/>
    </row>
    <row r="679" customFormat="false" ht="13.8" hidden="false" customHeight="false" outlineLevel="0" collapsed="false">
      <c r="E679" s="7"/>
    </row>
    <row r="680" customFormat="false" ht="13.8" hidden="false" customHeight="false" outlineLevel="0" collapsed="false">
      <c r="E680" s="7"/>
    </row>
    <row r="681" customFormat="false" ht="13.8" hidden="false" customHeight="false" outlineLevel="0" collapsed="false">
      <c r="E681" s="7"/>
    </row>
    <row r="682" customFormat="false" ht="13.8" hidden="false" customHeight="false" outlineLevel="0" collapsed="false">
      <c r="E682" s="7"/>
    </row>
    <row r="683" customFormat="false" ht="13.8" hidden="false" customHeight="false" outlineLevel="0" collapsed="false">
      <c r="E683" s="7"/>
    </row>
    <row r="684" customFormat="false" ht="13.8" hidden="false" customHeight="false" outlineLevel="0" collapsed="false">
      <c r="E684" s="7"/>
    </row>
    <row r="685" customFormat="false" ht="13.8" hidden="false" customHeight="false" outlineLevel="0" collapsed="false">
      <c r="E685" s="7"/>
    </row>
    <row r="686" customFormat="false" ht="13.8" hidden="false" customHeight="false" outlineLevel="0" collapsed="false">
      <c r="E686" s="7"/>
    </row>
    <row r="687" customFormat="false" ht="13.8" hidden="false" customHeight="false" outlineLevel="0" collapsed="false">
      <c r="E687" s="7"/>
    </row>
    <row r="688" customFormat="false" ht="13.8" hidden="false" customHeight="false" outlineLevel="0" collapsed="false">
      <c r="E688" s="7"/>
    </row>
    <row r="689" customFormat="false" ht="13.8" hidden="false" customHeight="false" outlineLevel="0" collapsed="false">
      <c r="E689" s="7"/>
    </row>
    <row r="690" customFormat="false" ht="13.8" hidden="false" customHeight="false" outlineLevel="0" collapsed="false">
      <c r="E690" s="7"/>
    </row>
    <row r="691" customFormat="false" ht="13.8" hidden="false" customHeight="false" outlineLevel="0" collapsed="false">
      <c r="E691" s="7"/>
    </row>
    <row r="692" customFormat="false" ht="13.8" hidden="false" customHeight="false" outlineLevel="0" collapsed="false">
      <c r="E692" s="7"/>
    </row>
    <row r="693" customFormat="false" ht="13.8" hidden="false" customHeight="false" outlineLevel="0" collapsed="false">
      <c r="E693" s="7"/>
    </row>
    <row r="694" customFormat="false" ht="13.8" hidden="false" customHeight="false" outlineLevel="0" collapsed="false">
      <c r="E694" s="7"/>
    </row>
    <row r="695" customFormat="false" ht="13.8" hidden="false" customHeight="false" outlineLevel="0" collapsed="false">
      <c r="E695" s="7"/>
    </row>
    <row r="696" customFormat="false" ht="13.8" hidden="false" customHeight="false" outlineLevel="0" collapsed="false">
      <c r="E696" s="7"/>
    </row>
    <row r="697" customFormat="false" ht="13.8" hidden="false" customHeight="false" outlineLevel="0" collapsed="false">
      <c r="E697" s="7"/>
    </row>
    <row r="698" customFormat="false" ht="13.8" hidden="false" customHeight="false" outlineLevel="0" collapsed="false">
      <c r="E698" s="7"/>
    </row>
    <row r="699" customFormat="false" ht="13.8" hidden="false" customHeight="false" outlineLevel="0" collapsed="false">
      <c r="E699" s="7"/>
    </row>
    <row r="700" customFormat="false" ht="13.8" hidden="false" customHeight="false" outlineLevel="0" collapsed="false">
      <c r="E700" s="7"/>
    </row>
    <row r="701" customFormat="false" ht="13.8" hidden="false" customHeight="false" outlineLevel="0" collapsed="false">
      <c r="E701" s="7"/>
    </row>
    <row r="702" customFormat="false" ht="13.8" hidden="false" customHeight="false" outlineLevel="0" collapsed="false">
      <c r="E702" s="7"/>
    </row>
    <row r="703" customFormat="false" ht="13.8" hidden="false" customHeight="false" outlineLevel="0" collapsed="false">
      <c r="E703" s="7"/>
    </row>
    <row r="704" customFormat="false" ht="13.8" hidden="false" customHeight="false" outlineLevel="0" collapsed="false">
      <c r="E704" s="7"/>
    </row>
    <row r="705" customFormat="false" ht="13.8" hidden="false" customHeight="false" outlineLevel="0" collapsed="false">
      <c r="E705" s="7"/>
    </row>
    <row r="706" customFormat="false" ht="13.8" hidden="false" customHeight="false" outlineLevel="0" collapsed="false">
      <c r="E706" s="7"/>
    </row>
    <row r="707" customFormat="false" ht="13.8" hidden="false" customHeight="false" outlineLevel="0" collapsed="false">
      <c r="E707" s="7"/>
    </row>
    <row r="708" customFormat="false" ht="13.8" hidden="false" customHeight="false" outlineLevel="0" collapsed="false">
      <c r="E708" s="7"/>
    </row>
    <row r="709" customFormat="false" ht="13.8" hidden="false" customHeight="false" outlineLevel="0" collapsed="false">
      <c r="E709" s="7"/>
    </row>
    <row r="710" customFormat="false" ht="13.8" hidden="false" customHeight="false" outlineLevel="0" collapsed="false">
      <c r="E710" s="7"/>
    </row>
    <row r="711" customFormat="false" ht="13.8" hidden="false" customHeight="false" outlineLevel="0" collapsed="false">
      <c r="E711" s="7"/>
    </row>
    <row r="712" customFormat="false" ht="13.8" hidden="false" customHeight="false" outlineLevel="0" collapsed="false">
      <c r="E712" s="7"/>
    </row>
    <row r="713" customFormat="false" ht="13.8" hidden="false" customHeight="false" outlineLevel="0" collapsed="false">
      <c r="E713" s="7"/>
    </row>
    <row r="714" customFormat="false" ht="13.8" hidden="false" customHeight="false" outlineLevel="0" collapsed="false">
      <c r="E714" s="7"/>
    </row>
    <row r="715" customFormat="false" ht="13.8" hidden="false" customHeight="false" outlineLevel="0" collapsed="false">
      <c r="E715" s="7"/>
    </row>
    <row r="716" customFormat="false" ht="13.8" hidden="false" customHeight="false" outlineLevel="0" collapsed="false">
      <c r="E716" s="7"/>
    </row>
    <row r="717" customFormat="false" ht="13.8" hidden="false" customHeight="false" outlineLevel="0" collapsed="false">
      <c r="E717" s="7"/>
    </row>
    <row r="718" customFormat="false" ht="13.8" hidden="false" customHeight="false" outlineLevel="0" collapsed="false">
      <c r="E718" s="7"/>
    </row>
    <row r="719" customFormat="false" ht="13.8" hidden="false" customHeight="false" outlineLevel="0" collapsed="false">
      <c r="E719" s="7"/>
    </row>
    <row r="720" customFormat="false" ht="13.8" hidden="false" customHeight="false" outlineLevel="0" collapsed="false">
      <c r="E720" s="7"/>
    </row>
    <row r="721" customFormat="false" ht="13.8" hidden="false" customHeight="false" outlineLevel="0" collapsed="false">
      <c r="E721" s="7"/>
    </row>
    <row r="722" customFormat="false" ht="13.8" hidden="false" customHeight="false" outlineLevel="0" collapsed="false">
      <c r="E722" s="7"/>
    </row>
    <row r="723" customFormat="false" ht="13.8" hidden="false" customHeight="false" outlineLevel="0" collapsed="false">
      <c r="E723" s="7"/>
    </row>
    <row r="724" customFormat="false" ht="13.8" hidden="false" customHeight="false" outlineLevel="0" collapsed="false">
      <c r="E724" s="7"/>
    </row>
    <row r="725" customFormat="false" ht="13.8" hidden="false" customHeight="false" outlineLevel="0" collapsed="false">
      <c r="E725" s="7"/>
    </row>
    <row r="726" customFormat="false" ht="13.8" hidden="false" customHeight="false" outlineLevel="0" collapsed="false">
      <c r="E726" s="7"/>
    </row>
    <row r="727" customFormat="false" ht="13.8" hidden="false" customHeight="false" outlineLevel="0" collapsed="false">
      <c r="E727" s="7"/>
    </row>
    <row r="728" customFormat="false" ht="13.8" hidden="false" customHeight="false" outlineLevel="0" collapsed="false">
      <c r="E728" s="7"/>
    </row>
    <row r="729" customFormat="false" ht="13.8" hidden="false" customHeight="false" outlineLevel="0" collapsed="false">
      <c r="E729" s="7"/>
    </row>
    <row r="730" customFormat="false" ht="13.8" hidden="false" customHeight="false" outlineLevel="0" collapsed="false">
      <c r="E730" s="7"/>
    </row>
    <row r="731" customFormat="false" ht="13.8" hidden="false" customHeight="false" outlineLevel="0" collapsed="false">
      <c r="E731" s="7"/>
    </row>
    <row r="732" customFormat="false" ht="13.8" hidden="false" customHeight="false" outlineLevel="0" collapsed="false">
      <c r="E732" s="7"/>
    </row>
    <row r="733" customFormat="false" ht="13.8" hidden="false" customHeight="false" outlineLevel="0" collapsed="false">
      <c r="E733" s="7"/>
    </row>
    <row r="734" customFormat="false" ht="13.8" hidden="false" customHeight="false" outlineLevel="0" collapsed="false">
      <c r="E734" s="7"/>
    </row>
    <row r="735" customFormat="false" ht="13.8" hidden="false" customHeight="false" outlineLevel="0" collapsed="false">
      <c r="E735" s="7"/>
    </row>
    <row r="736" customFormat="false" ht="13.8" hidden="false" customHeight="false" outlineLevel="0" collapsed="false">
      <c r="E736" s="7"/>
    </row>
    <row r="737" customFormat="false" ht="13.8" hidden="false" customHeight="false" outlineLevel="0" collapsed="false">
      <c r="E737" s="7"/>
    </row>
    <row r="738" customFormat="false" ht="13.8" hidden="false" customHeight="false" outlineLevel="0" collapsed="false">
      <c r="E738" s="7"/>
    </row>
    <row r="739" customFormat="false" ht="13.8" hidden="false" customHeight="false" outlineLevel="0" collapsed="false">
      <c r="E739" s="7"/>
    </row>
    <row r="740" customFormat="false" ht="13.8" hidden="false" customHeight="false" outlineLevel="0" collapsed="false">
      <c r="E740" s="7"/>
    </row>
    <row r="741" customFormat="false" ht="13.8" hidden="false" customHeight="false" outlineLevel="0" collapsed="false">
      <c r="E741" s="7"/>
    </row>
    <row r="742" customFormat="false" ht="13.8" hidden="false" customHeight="false" outlineLevel="0" collapsed="false">
      <c r="E742" s="7"/>
    </row>
    <row r="743" customFormat="false" ht="13.8" hidden="false" customHeight="false" outlineLevel="0" collapsed="false">
      <c r="E743" s="7"/>
    </row>
    <row r="744" customFormat="false" ht="13.8" hidden="false" customHeight="false" outlineLevel="0" collapsed="false">
      <c r="E744" s="7"/>
    </row>
    <row r="745" customFormat="false" ht="13.8" hidden="false" customHeight="false" outlineLevel="0" collapsed="false">
      <c r="E745" s="7"/>
    </row>
    <row r="746" customFormat="false" ht="13.8" hidden="false" customHeight="false" outlineLevel="0" collapsed="false">
      <c r="E746" s="7"/>
    </row>
    <row r="747" customFormat="false" ht="13.8" hidden="false" customHeight="false" outlineLevel="0" collapsed="false">
      <c r="E747" s="7"/>
    </row>
    <row r="748" customFormat="false" ht="13.8" hidden="false" customHeight="false" outlineLevel="0" collapsed="false">
      <c r="E748" s="7"/>
    </row>
    <row r="749" customFormat="false" ht="13.8" hidden="false" customHeight="false" outlineLevel="0" collapsed="false">
      <c r="E749" s="7"/>
    </row>
    <row r="750" customFormat="false" ht="13.8" hidden="false" customHeight="false" outlineLevel="0" collapsed="false">
      <c r="E750" s="7"/>
    </row>
    <row r="751" customFormat="false" ht="13.8" hidden="false" customHeight="false" outlineLevel="0" collapsed="false">
      <c r="E751" s="7"/>
    </row>
    <row r="752" customFormat="false" ht="13.8" hidden="false" customHeight="false" outlineLevel="0" collapsed="false">
      <c r="E752" s="7"/>
    </row>
    <row r="753" customFormat="false" ht="13.8" hidden="false" customHeight="false" outlineLevel="0" collapsed="false">
      <c r="E753" s="7"/>
    </row>
    <row r="754" customFormat="false" ht="13.8" hidden="false" customHeight="false" outlineLevel="0" collapsed="false">
      <c r="E754" s="7"/>
    </row>
    <row r="755" customFormat="false" ht="13.8" hidden="false" customHeight="false" outlineLevel="0" collapsed="false">
      <c r="E755" s="7"/>
    </row>
    <row r="756" customFormat="false" ht="13.8" hidden="false" customHeight="false" outlineLevel="0" collapsed="false">
      <c r="E756" s="7"/>
    </row>
    <row r="757" customFormat="false" ht="13.8" hidden="false" customHeight="false" outlineLevel="0" collapsed="false">
      <c r="E757" s="7"/>
    </row>
    <row r="758" customFormat="false" ht="13.8" hidden="false" customHeight="false" outlineLevel="0" collapsed="false">
      <c r="E758" s="7"/>
    </row>
    <row r="759" customFormat="false" ht="13.8" hidden="false" customHeight="false" outlineLevel="0" collapsed="false">
      <c r="E759" s="7"/>
    </row>
    <row r="760" customFormat="false" ht="13.8" hidden="false" customHeight="false" outlineLevel="0" collapsed="false">
      <c r="E760" s="7"/>
    </row>
    <row r="761" customFormat="false" ht="13.8" hidden="false" customHeight="false" outlineLevel="0" collapsed="false">
      <c r="E761" s="7"/>
    </row>
    <row r="762" customFormat="false" ht="13.8" hidden="false" customHeight="false" outlineLevel="0" collapsed="false">
      <c r="E762" s="7"/>
    </row>
    <row r="763" customFormat="false" ht="13.8" hidden="false" customHeight="false" outlineLevel="0" collapsed="false">
      <c r="E763" s="7"/>
    </row>
    <row r="764" customFormat="false" ht="13.8" hidden="false" customHeight="false" outlineLevel="0" collapsed="false">
      <c r="E764" s="7"/>
    </row>
    <row r="765" customFormat="false" ht="13.8" hidden="false" customHeight="false" outlineLevel="0" collapsed="false">
      <c r="E765" s="7"/>
    </row>
    <row r="766" customFormat="false" ht="13.8" hidden="false" customHeight="false" outlineLevel="0" collapsed="false">
      <c r="E766" s="7"/>
    </row>
    <row r="767" customFormat="false" ht="13.8" hidden="false" customHeight="false" outlineLevel="0" collapsed="false">
      <c r="E767" s="7"/>
    </row>
    <row r="768" customFormat="false" ht="13.8" hidden="false" customHeight="false" outlineLevel="0" collapsed="false">
      <c r="E768" s="7"/>
    </row>
    <row r="769" customFormat="false" ht="13.8" hidden="false" customHeight="false" outlineLevel="0" collapsed="false">
      <c r="E769" s="7"/>
    </row>
    <row r="770" customFormat="false" ht="13.8" hidden="false" customHeight="false" outlineLevel="0" collapsed="false">
      <c r="E770" s="7"/>
    </row>
    <row r="771" customFormat="false" ht="13.8" hidden="false" customHeight="false" outlineLevel="0" collapsed="false">
      <c r="E771" s="7"/>
    </row>
    <row r="772" customFormat="false" ht="13.8" hidden="false" customHeight="false" outlineLevel="0" collapsed="false">
      <c r="E772" s="7"/>
    </row>
    <row r="773" customFormat="false" ht="13.8" hidden="false" customHeight="false" outlineLevel="0" collapsed="false">
      <c r="E773" s="7"/>
    </row>
    <row r="774" customFormat="false" ht="13.8" hidden="false" customHeight="false" outlineLevel="0" collapsed="false">
      <c r="E774" s="7"/>
    </row>
    <row r="775" customFormat="false" ht="13.8" hidden="false" customHeight="false" outlineLevel="0" collapsed="false">
      <c r="E775" s="7"/>
    </row>
    <row r="776" customFormat="false" ht="13.8" hidden="false" customHeight="false" outlineLevel="0" collapsed="false">
      <c r="E776" s="7"/>
    </row>
    <row r="777" customFormat="false" ht="13.8" hidden="false" customHeight="false" outlineLevel="0" collapsed="false">
      <c r="E777" s="7"/>
    </row>
    <row r="778" customFormat="false" ht="13.8" hidden="false" customHeight="false" outlineLevel="0" collapsed="false">
      <c r="E778" s="7"/>
    </row>
    <row r="779" customFormat="false" ht="13.8" hidden="false" customHeight="false" outlineLevel="0" collapsed="false">
      <c r="E779" s="7"/>
    </row>
    <row r="780" customFormat="false" ht="13.8" hidden="false" customHeight="false" outlineLevel="0" collapsed="false">
      <c r="E780" s="7"/>
    </row>
    <row r="781" customFormat="false" ht="13.8" hidden="false" customHeight="false" outlineLevel="0" collapsed="false">
      <c r="E781" s="7"/>
    </row>
    <row r="782" customFormat="false" ht="13.8" hidden="false" customHeight="false" outlineLevel="0" collapsed="false">
      <c r="E782" s="7"/>
    </row>
    <row r="783" customFormat="false" ht="13.8" hidden="false" customHeight="false" outlineLevel="0" collapsed="false">
      <c r="E783" s="7"/>
    </row>
    <row r="784" customFormat="false" ht="13.8" hidden="false" customHeight="false" outlineLevel="0" collapsed="false">
      <c r="E784" s="7"/>
    </row>
    <row r="785" customFormat="false" ht="13.8" hidden="false" customHeight="false" outlineLevel="0" collapsed="false">
      <c r="E785" s="7"/>
    </row>
    <row r="786" customFormat="false" ht="13.8" hidden="false" customHeight="false" outlineLevel="0" collapsed="false">
      <c r="E786" s="7"/>
    </row>
    <row r="787" customFormat="false" ht="13.8" hidden="false" customHeight="false" outlineLevel="0" collapsed="false">
      <c r="E787" s="7"/>
    </row>
    <row r="788" customFormat="false" ht="13.8" hidden="false" customHeight="false" outlineLevel="0" collapsed="false">
      <c r="E788" s="7"/>
    </row>
    <row r="789" customFormat="false" ht="13.8" hidden="false" customHeight="false" outlineLevel="0" collapsed="false">
      <c r="E789" s="7"/>
    </row>
    <row r="790" customFormat="false" ht="13.8" hidden="false" customHeight="false" outlineLevel="0" collapsed="false">
      <c r="E790" s="7"/>
    </row>
    <row r="791" customFormat="false" ht="13.8" hidden="false" customHeight="false" outlineLevel="0" collapsed="false">
      <c r="E791" s="7"/>
    </row>
    <row r="792" customFormat="false" ht="13.8" hidden="false" customHeight="false" outlineLevel="0" collapsed="false">
      <c r="E792" s="7"/>
    </row>
    <row r="793" customFormat="false" ht="13.8" hidden="false" customHeight="false" outlineLevel="0" collapsed="false">
      <c r="E793" s="7"/>
    </row>
    <row r="794" customFormat="false" ht="13.8" hidden="false" customHeight="false" outlineLevel="0" collapsed="false">
      <c r="E794" s="7"/>
    </row>
    <row r="795" customFormat="false" ht="13.8" hidden="false" customHeight="false" outlineLevel="0" collapsed="false">
      <c r="E795" s="7"/>
    </row>
    <row r="796" customFormat="false" ht="13.8" hidden="false" customHeight="false" outlineLevel="0" collapsed="false">
      <c r="E796" s="7"/>
    </row>
    <row r="797" customFormat="false" ht="13.8" hidden="false" customHeight="false" outlineLevel="0" collapsed="false">
      <c r="E797" s="7"/>
    </row>
    <row r="798" customFormat="false" ht="13.8" hidden="false" customHeight="false" outlineLevel="0" collapsed="false">
      <c r="E798" s="7"/>
    </row>
    <row r="799" customFormat="false" ht="13.8" hidden="false" customHeight="false" outlineLevel="0" collapsed="false">
      <c r="E799" s="7"/>
    </row>
    <row r="800" customFormat="false" ht="13.8" hidden="false" customHeight="false" outlineLevel="0" collapsed="false">
      <c r="E800" s="7"/>
    </row>
    <row r="801" customFormat="false" ht="13.8" hidden="false" customHeight="false" outlineLevel="0" collapsed="false">
      <c r="E801" s="7"/>
    </row>
    <row r="802" customFormat="false" ht="13.8" hidden="false" customHeight="false" outlineLevel="0" collapsed="false">
      <c r="E802" s="7"/>
    </row>
    <row r="803" customFormat="false" ht="13.8" hidden="false" customHeight="false" outlineLevel="0" collapsed="false">
      <c r="E803" s="7"/>
    </row>
    <row r="804" customFormat="false" ht="13.8" hidden="false" customHeight="false" outlineLevel="0" collapsed="false">
      <c r="E804" s="7"/>
    </row>
    <row r="805" customFormat="false" ht="13.8" hidden="false" customHeight="false" outlineLevel="0" collapsed="false">
      <c r="E805" s="7"/>
    </row>
    <row r="806" customFormat="false" ht="13.8" hidden="false" customHeight="false" outlineLevel="0" collapsed="false">
      <c r="E806" s="7"/>
    </row>
    <row r="807" customFormat="false" ht="13.8" hidden="false" customHeight="false" outlineLevel="0" collapsed="false">
      <c r="E807" s="7"/>
    </row>
    <row r="808" customFormat="false" ht="13.8" hidden="false" customHeight="false" outlineLevel="0" collapsed="false">
      <c r="E808" s="7"/>
    </row>
    <row r="809" customFormat="false" ht="13.8" hidden="false" customHeight="false" outlineLevel="0" collapsed="false">
      <c r="E809" s="7"/>
    </row>
    <row r="810" customFormat="false" ht="13.8" hidden="false" customHeight="false" outlineLevel="0" collapsed="false">
      <c r="E810" s="7"/>
    </row>
    <row r="811" customFormat="false" ht="13.8" hidden="false" customHeight="false" outlineLevel="0" collapsed="false">
      <c r="E811" s="7"/>
    </row>
    <row r="812" customFormat="false" ht="13.8" hidden="false" customHeight="false" outlineLevel="0" collapsed="false">
      <c r="E812" s="7"/>
    </row>
    <row r="813" customFormat="false" ht="13.8" hidden="false" customHeight="false" outlineLevel="0" collapsed="false">
      <c r="E813" s="7"/>
    </row>
    <row r="814" customFormat="false" ht="13.8" hidden="false" customHeight="false" outlineLevel="0" collapsed="false">
      <c r="E814" s="7"/>
    </row>
    <row r="815" customFormat="false" ht="13.8" hidden="false" customHeight="false" outlineLevel="0" collapsed="false">
      <c r="E815" s="7"/>
    </row>
    <row r="816" customFormat="false" ht="13.8" hidden="false" customHeight="false" outlineLevel="0" collapsed="false">
      <c r="E816" s="7"/>
    </row>
    <row r="817" customFormat="false" ht="13.8" hidden="false" customHeight="false" outlineLevel="0" collapsed="false">
      <c r="E817" s="7"/>
    </row>
    <row r="818" customFormat="false" ht="13.8" hidden="false" customHeight="false" outlineLevel="0" collapsed="false">
      <c r="E818" s="7"/>
    </row>
    <row r="819" customFormat="false" ht="13.8" hidden="false" customHeight="false" outlineLevel="0" collapsed="false">
      <c r="E819" s="7"/>
    </row>
    <row r="820" customFormat="false" ht="13.8" hidden="false" customHeight="false" outlineLevel="0" collapsed="false">
      <c r="E820" s="7"/>
    </row>
    <row r="821" customFormat="false" ht="13.8" hidden="false" customHeight="false" outlineLevel="0" collapsed="false">
      <c r="E821" s="7"/>
    </row>
    <row r="822" customFormat="false" ht="13.8" hidden="false" customHeight="false" outlineLevel="0" collapsed="false">
      <c r="E822" s="7"/>
    </row>
    <row r="823" customFormat="false" ht="13.8" hidden="false" customHeight="false" outlineLevel="0" collapsed="false">
      <c r="E823" s="7"/>
    </row>
    <row r="824" customFormat="false" ht="13.8" hidden="false" customHeight="false" outlineLevel="0" collapsed="false">
      <c r="E824" s="7"/>
    </row>
    <row r="825" customFormat="false" ht="13.8" hidden="false" customHeight="false" outlineLevel="0" collapsed="false">
      <c r="E825" s="7"/>
    </row>
    <row r="826" customFormat="false" ht="13.8" hidden="false" customHeight="false" outlineLevel="0" collapsed="false">
      <c r="E826" s="7"/>
    </row>
    <row r="827" customFormat="false" ht="13.8" hidden="false" customHeight="false" outlineLevel="0" collapsed="false">
      <c r="E827" s="7"/>
    </row>
    <row r="828" customFormat="false" ht="13.8" hidden="false" customHeight="false" outlineLevel="0" collapsed="false">
      <c r="E828" s="7"/>
    </row>
    <row r="829" customFormat="false" ht="13.8" hidden="false" customHeight="false" outlineLevel="0" collapsed="false">
      <c r="E829" s="7"/>
    </row>
    <row r="830" customFormat="false" ht="13.8" hidden="false" customHeight="false" outlineLevel="0" collapsed="false">
      <c r="E830" s="7"/>
    </row>
    <row r="831" customFormat="false" ht="13.8" hidden="false" customHeight="false" outlineLevel="0" collapsed="false">
      <c r="E831" s="7"/>
    </row>
    <row r="832" customFormat="false" ht="13.8" hidden="false" customHeight="false" outlineLevel="0" collapsed="false">
      <c r="E832" s="7"/>
    </row>
    <row r="833" customFormat="false" ht="13.8" hidden="false" customHeight="false" outlineLevel="0" collapsed="false">
      <c r="E833" s="7"/>
    </row>
    <row r="834" customFormat="false" ht="13.8" hidden="false" customHeight="false" outlineLevel="0" collapsed="false">
      <c r="E834" s="7"/>
    </row>
    <row r="835" customFormat="false" ht="13.8" hidden="false" customHeight="false" outlineLevel="0" collapsed="false">
      <c r="E835" s="7"/>
    </row>
    <row r="836" customFormat="false" ht="13.8" hidden="false" customHeight="false" outlineLevel="0" collapsed="false">
      <c r="E836" s="7"/>
    </row>
    <row r="837" customFormat="false" ht="13.8" hidden="false" customHeight="false" outlineLevel="0" collapsed="false">
      <c r="E837" s="7"/>
    </row>
    <row r="838" customFormat="false" ht="13.8" hidden="false" customHeight="false" outlineLevel="0" collapsed="false">
      <c r="E838" s="7"/>
    </row>
    <row r="839" customFormat="false" ht="13.8" hidden="false" customHeight="false" outlineLevel="0" collapsed="false">
      <c r="E839" s="7"/>
    </row>
    <row r="840" customFormat="false" ht="13.8" hidden="false" customHeight="false" outlineLevel="0" collapsed="false">
      <c r="E840" s="7"/>
    </row>
    <row r="841" customFormat="false" ht="13.8" hidden="false" customHeight="false" outlineLevel="0" collapsed="false">
      <c r="E841" s="7"/>
    </row>
    <row r="842" customFormat="false" ht="13.8" hidden="false" customHeight="false" outlineLevel="0" collapsed="false">
      <c r="E842" s="7"/>
    </row>
    <row r="843" customFormat="false" ht="13.8" hidden="false" customHeight="false" outlineLevel="0" collapsed="false">
      <c r="E843" s="7"/>
    </row>
    <row r="844" customFormat="false" ht="13.8" hidden="false" customHeight="false" outlineLevel="0" collapsed="false">
      <c r="E844" s="7"/>
    </row>
    <row r="845" customFormat="false" ht="13.8" hidden="false" customHeight="false" outlineLevel="0" collapsed="false">
      <c r="E845" s="7"/>
    </row>
    <row r="846" customFormat="false" ht="13.8" hidden="false" customHeight="false" outlineLevel="0" collapsed="false">
      <c r="E846" s="7"/>
    </row>
    <row r="847" customFormat="false" ht="13.8" hidden="false" customHeight="false" outlineLevel="0" collapsed="false">
      <c r="E847" s="7"/>
    </row>
    <row r="848" customFormat="false" ht="13.8" hidden="false" customHeight="false" outlineLevel="0" collapsed="false">
      <c r="E848" s="7"/>
    </row>
    <row r="849" customFormat="false" ht="13.8" hidden="false" customHeight="false" outlineLevel="0" collapsed="false">
      <c r="E849" s="7"/>
    </row>
    <row r="850" customFormat="false" ht="13.8" hidden="false" customHeight="false" outlineLevel="0" collapsed="false">
      <c r="E850" s="7"/>
    </row>
    <row r="851" customFormat="false" ht="13.8" hidden="false" customHeight="false" outlineLevel="0" collapsed="false">
      <c r="E851" s="7"/>
    </row>
    <row r="852" customFormat="false" ht="13.8" hidden="false" customHeight="false" outlineLevel="0" collapsed="false">
      <c r="E852" s="7"/>
    </row>
    <row r="853" customFormat="false" ht="13.8" hidden="false" customHeight="false" outlineLevel="0" collapsed="false">
      <c r="E853" s="7"/>
    </row>
    <row r="854" customFormat="false" ht="13.8" hidden="false" customHeight="false" outlineLevel="0" collapsed="false">
      <c r="E854" s="7"/>
    </row>
    <row r="855" customFormat="false" ht="13.8" hidden="false" customHeight="false" outlineLevel="0" collapsed="false">
      <c r="E855" s="7"/>
    </row>
    <row r="856" customFormat="false" ht="13.8" hidden="false" customHeight="false" outlineLevel="0" collapsed="false">
      <c r="E856" s="7"/>
    </row>
    <row r="857" customFormat="false" ht="13.8" hidden="false" customHeight="false" outlineLevel="0" collapsed="false">
      <c r="E857" s="7"/>
    </row>
    <row r="858" customFormat="false" ht="13.8" hidden="false" customHeight="false" outlineLevel="0" collapsed="false">
      <c r="E858" s="7"/>
    </row>
    <row r="859" customFormat="false" ht="13.8" hidden="false" customHeight="false" outlineLevel="0" collapsed="false">
      <c r="E859" s="7"/>
    </row>
    <row r="860" customFormat="false" ht="13.8" hidden="false" customHeight="false" outlineLevel="0" collapsed="false">
      <c r="E860" s="7"/>
    </row>
    <row r="861" customFormat="false" ht="13.8" hidden="false" customHeight="false" outlineLevel="0" collapsed="false">
      <c r="E861" s="7"/>
    </row>
    <row r="862" customFormat="false" ht="13.8" hidden="false" customHeight="false" outlineLevel="0" collapsed="false">
      <c r="E862" s="7"/>
    </row>
    <row r="863" customFormat="false" ht="13.8" hidden="false" customHeight="false" outlineLevel="0" collapsed="false">
      <c r="E863" s="7"/>
    </row>
    <row r="864" customFormat="false" ht="13.8" hidden="false" customHeight="false" outlineLevel="0" collapsed="false">
      <c r="E864" s="7"/>
    </row>
    <row r="865" customFormat="false" ht="13.8" hidden="false" customHeight="false" outlineLevel="0" collapsed="false">
      <c r="E865" s="7"/>
    </row>
    <row r="866" customFormat="false" ht="13.8" hidden="false" customHeight="false" outlineLevel="0" collapsed="false">
      <c r="E866" s="7"/>
    </row>
    <row r="867" customFormat="false" ht="13.8" hidden="false" customHeight="false" outlineLevel="0" collapsed="false">
      <c r="E867" s="7"/>
    </row>
    <row r="868" customFormat="false" ht="13.8" hidden="false" customHeight="false" outlineLevel="0" collapsed="false">
      <c r="E868" s="7"/>
    </row>
    <row r="869" customFormat="false" ht="13.8" hidden="false" customHeight="false" outlineLevel="0" collapsed="false">
      <c r="E869" s="7"/>
    </row>
    <row r="870" customFormat="false" ht="13.8" hidden="false" customHeight="false" outlineLevel="0" collapsed="false">
      <c r="E870" s="7"/>
    </row>
    <row r="871" customFormat="false" ht="13.8" hidden="false" customHeight="false" outlineLevel="0" collapsed="false">
      <c r="E871" s="7"/>
    </row>
    <row r="872" customFormat="false" ht="13.8" hidden="false" customHeight="false" outlineLevel="0" collapsed="false">
      <c r="E872" s="7"/>
    </row>
    <row r="873" customFormat="false" ht="13.8" hidden="false" customHeight="false" outlineLevel="0" collapsed="false">
      <c r="E873" s="7"/>
    </row>
    <row r="874" customFormat="false" ht="13.8" hidden="false" customHeight="false" outlineLevel="0" collapsed="false">
      <c r="E874" s="7"/>
    </row>
    <row r="875" customFormat="false" ht="13.8" hidden="false" customHeight="false" outlineLevel="0" collapsed="false">
      <c r="E875" s="7"/>
    </row>
    <row r="876" customFormat="false" ht="13.8" hidden="false" customHeight="false" outlineLevel="0" collapsed="false">
      <c r="E876" s="7"/>
    </row>
    <row r="877" customFormat="false" ht="13.8" hidden="false" customHeight="false" outlineLevel="0" collapsed="false">
      <c r="E877" s="7"/>
    </row>
    <row r="878" customFormat="false" ht="13.8" hidden="false" customHeight="false" outlineLevel="0" collapsed="false">
      <c r="E878" s="7"/>
    </row>
    <row r="879" customFormat="false" ht="13.8" hidden="false" customHeight="false" outlineLevel="0" collapsed="false">
      <c r="E879" s="7"/>
    </row>
    <row r="880" customFormat="false" ht="13.8" hidden="false" customHeight="false" outlineLevel="0" collapsed="false">
      <c r="E880" s="7"/>
    </row>
    <row r="881" customFormat="false" ht="13.8" hidden="false" customHeight="false" outlineLevel="0" collapsed="false">
      <c r="E881" s="7"/>
    </row>
    <row r="882" customFormat="false" ht="13.8" hidden="false" customHeight="false" outlineLevel="0" collapsed="false">
      <c r="E882" s="7"/>
    </row>
    <row r="883" customFormat="false" ht="13.8" hidden="false" customHeight="false" outlineLevel="0" collapsed="false">
      <c r="E883" s="7"/>
    </row>
    <row r="884" customFormat="false" ht="13.8" hidden="false" customHeight="false" outlineLevel="0" collapsed="false">
      <c r="E884" s="7"/>
    </row>
    <row r="885" customFormat="false" ht="13.8" hidden="false" customHeight="false" outlineLevel="0" collapsed="false">
      <c r="E885" s="7"/>
    </row>
    <row r="886" customFormat="false" ht="13.8" hidden="false" customHeight="false" outlineLevel="0" collapsed="false">
      <c r="E886" s="7"/>
    </row>
    <row r="887" customFormat="false" ht="13.8" hidden="false" customHeight="false" outlineLevel="0" collapsed="false">
      <c r="E887" s="7"/>
    </row>
    <row r="888" customFormat="false" ht="13.8" hidden="false" customHeight="false" outlineLevel="0" collapsed="false">
      <c r="E888" s="7"/>
    </row>
    <row r="889" customFormat="false" ht="13.8" hidden="false" customHeight="false" outlineLevel="0" collapsed="false">
      <c r="E889" s="7"/>
    </row>
    <row r="890" customFormat="false" ht="13.8" hidden="false" customHeight="false" outlineLevel="0" collapsed="false">
      <c r="E890" s="7"/>
    </row>
    <row r="891" customFormat="false" ht="13.8" hidden="false" customHeight="false" outlineLevel="0" collapsed="false">
      <c r="E891" s="7"/>
    </row>
    <row r="892" customFormat="false" ht="13.8" hidden="false" customHeight="false" outlineLevel="0" collapsed="false">
      <c r="E892" s="7"/>
    </row>
    <row r="893" customFormat="false" ht="13.8" hidden="false" customHeight="false" outlineLevel="0" collapsed="false">
      <c r="E893" s="7"/>
    </row>
    <row r="894" customFormat="false" ht="13.8" hidden="false" customHeight="false" outlineLevel="0" collapsed="false">
      <c r="E894" s="7"/>
    </row>
    <row r="895" customFormat="false" ht="13.8" hidden="false" customHeight="false" outlineLevel="0" collapsed="false">
      <c r="E895" s="7"/>
    </row>
    <row r="896" customFormat="false" ht="13.8" hidden="false" customHeight="false" outlineLevel="0" collapsed="false">
      <c r="E896" s="7"/>
    </row>
    <row r="897" customFormat="false" ht="13.8" hidden="false" customHeight="false" outlineLevel="0" collapsed="false">
      <c r="E897" s="7"/>
    </row>
    <row r="898" customFormat="false" ht="13.8" hidden="false" customHeight="false" outlineLevel="0" collapsed="false">
      <c r="E898" s="7"/>
    </row>
    <row r="899" customFormat="false" ht="13.8" hidden="false" customHeight="false" outlineLevel="0" collapsed="false">
      <c r="E899" s="7"/>
    </row>
    <row r="900" customFormat="false" ht="13.8" hidden="false" customHeight="false" outlineLevel="0" collapsed="false">
      <c r="E900" s="7"/>
    </row>
    <row r="901" customFormat="false" ht="13.8" hidden="false" customHeight="false" outlineLevel="0" collapsed="false">
      <c r="E901" s="7"/>
    </row>
    <row r="902" customFormat="false" ht="13.8" hidden="false" customHeight="false" outlineLevel="0" collapsed="false">
      <c r="E902" s="7"/>
    </row>
    <row r="903" customFormat="false" ht="13.8" hidden="false" customHeight="false" outlineLevel="0" collapsed="false">
      <c r="E903" s="7"/>
    </row>
    <row r="904" customFormat="false" ht="13.8" hidden="false" customHeight="false" outlineLevel="0" collapsed="false">
      <c r="E904" s="7"/>
    </row>
    <row r="905" customFormat="false" ht="13.8" hidden="false" customHeight="false" outlineLevel="0" collapsed="false">
      <c r="E905" s="7"/>
    </row>
    <row r="906" customFormat="false" ht="13.8" hidden="false" customHeight="false" outlineLevel="0" collapsed="false">
      <c r="E906" s="7"/>
    </row>
    <row r="907" customFormat="false" ht="13.8" hidden="false" customHeight="false" outlineLevel="0" collapsed="false">
      <c r="E907" s="7"/>
    </row>
    <row r="908" customFormat="false" ht="13.8" hidden="false" customHeight="false" outlineLevel="0" collapsed="false">
      <c r="E908" s="7"/>
    </row>
    <row r="909" customFormat="false" ht="13.8" hidden="false" customHeight="false" outlineLevel="0" collapsed="false">
      <c r="E909" s="7"/>
    </row>
    <row r="910" customFormat="false" ht="13.8" hidden="false" customHeight="false" outlineLevel="0" collapsed="false">
      <c r="E910" s="7"/>
    </row>
    <row r="911" customFormat="false" ht="13.8" hidden="false" customHeight="false" outlineLevel="0" collapsed="false">
      <c r="E911" s="7"/>
    </row>
    <row r="912" customFormat="false" ht="13.8" hidden="false" customHeight="false" outlineLevel="0" collapsed="false">
      <c r="E912" s="7"/>
    </row>
    <row r="913" customFormat="false" ht="13.8" hidden="false" customHeight="false" outlineLevel="0" collapsed="false">
      <c r="E913" s="7"/>
    </row>
    <row r="914" customFormat="false" ht="13.8" hidden="false" customHeight="false" outlineLevel="0" collapsed="false">
      <c r="E914" s="7"/>
    </row>
    <row r="915" customFormat="false" ht="13.8" hidden="false" customHeight="false" outlineLevel="0" collapsed="false">
      <c r="E915" s="7"/>
    </row>
    <row r="916" customFormat="false" ht="13.8" hidden="false" customHeight="false" outlineLevel="0" collapsed="false">
      <c r="E916" s="7"/>
    </row>
    <row r="917" customFormat="false" ht="13.8" hidden="false" customHeight="false" outlineLevel="0" collapsed="false">
      <c r="E917" s="7"/>
    </row>
    <row r="918" customFormat="false" ht="13.8" hidden="false" customHeight="false" outlineLevel="0" collapsed="false">
      <c r="E918" s="7"/>
    </row>
    <row r="919" customFormat="false" ht="13.8" hidden="false" customHeight="false" outlineLevel="0" collapsed="false">
      <c r="E919" s="7"/>
    </row>
    <row r="920" customFormat="false" ht="13.8" hidden="false" customHeight="false" outlineLevel="0" collapsed="false">
      <c r="E920" s="7"/>
    </row>
    <row r="921" customFormat="false" ht="13.8" hidden="false" customHeight="false" outlineLevel="0" collapsed="false">
      <c r="E921" s="7"/>
    </row>
    <row r="922" customFormat="false" ht="13.8" hidden="false" customHeight="false" outlineLevel="0" collapsed="false">
      <c r="E922" s="7"/>
    </row>
    <row r="923" customFormat="false" ht="13.8" hidden="false" customHeight="false" outlineLevel="0" collapsed="false">
      <c r="E923" s="7"/>
    </row>
    <row r="924" customFormat="false" ht="13.8" hidden="false" customHeight="false" outlineLevel="0" collapsed="false">
      <c r="E924" s="7"/>
    </row>
    <row r="925" customFormat="false" ht="13.8" hidden="false" customHeight="false" outlineLevel="0" collapsed="false">
      <c r="E925" s="7"/>
    </row>
    <row r="926" customFormat="false" ht="13.8" hidden="false" customHeight="false" outlineLevel="0" collapsed="false">
      <c r="E926" s="7"/>
    </row>
    <row r="927" customFormat="false" ht="13.8" hidden="false" customHeight="false" outlineLevel="0" collapsed="false">
      <c r="E927" s="7"/>
    </row>
    <row r="928" customFormat="false" ht="13.8" hidden="false" customHeight="false" outlineLevel="0" collapsed="false">
      <c r="E928" s="7"/>
    </row>
    <row r="929" customFormat="false" ht="13.8" hidden="false" customHeight="false" outlineLevel="0" collapsed="false">
      <c r="E929" s="7"/>
    </row>
    <row r="930" customFormat="false" ht="13.8" hidden="false" customHeight="false" outlineLevel="0" collapsed="false">
      <c r="E930" s="7"/>
    </row>
    <row r="931" customFormat="false" ht="13.8" hidden="false" customHeight="false" outlineLevel="0" collapsed="false">
      <c r="E931" s="7"/>
    </row>
    <row r="932" customFormat="false" ht="13.8" hidden="false" customHeight="false" outlineLevel="0" collapsed="false">
      <c r="E932" s="7"/>
    </row>
    <row r="933" customFormat="false" ht="13.8" hidden="false" customHeight="false" outlineLevel="0" collapsed="false">
      <c r="E933" s="7"/>
    </row>
    <row r="934" customFormat="false" ht="13.8" hidden="false" customHeight="false" outlineLevel="0" collapsed="false">
      <c r="E934" s="7"/>
    </row>
    <row r="935" customFormat="false" ht="13.8" hidden="false" customHeight="false" outlineLevel="0" collapsed="false">
      <c r="E935" s="7"/>
    </row>
    <row r="936" customFormat="false" ht="13.8" hidden="false" customHeight="false" outlineLevel="0" collapsed="false">
      <c r="E936" s="7"/>
    </row>
    <row r="937" customFormat="false" ht="13.8" hidden="false" customHeight="false" outlineLevel="0" collapsed="false">
      <c r="E937" s="7"/>
    </row>
    <row r="938" customFormat="false" ht="13.8" hidden="false" customHeight="false" outlineLevel="0" collapsed="false">
      <c r="E938" s="7"/>
    </row>
    <row r="939" customFormat="false" ht="13.8" hidden="false" customHeight="false" outlineLevel="0" collapsed="false">
      <c r="E939" s="7"/>
    </row>
    <row r="940" customFormat="false" ht="13.8" hidden="false" customHeight="false" outlineLevel="0" collapsed="false">
      <c r="E940" s="7"/>
    </row>
    <row r="941" customFormat="false" ht="13.8" hidden="false" customHeight="false" outlineLevel="0" collapsed="false">
      <c r="E941" s="7"/>
    </row>
    <row r="942" customFormat="false" ht="13.8" hidden="false" customHeight="false" outlineLevel="0" collapsed="false">
      <c r="E942" s="7"/>
    </row>
    <row r="943" customFormat="false" ht="13.8" hidden="false" customHeight="false" outlineLevel="0" collapsed="false">
      <c r="E943" s="7"/>
    </row>
    <row r="944" customFormat="false" ht="13.8" hidden="false" customHeight="false" outlineLevel="0" collapsed="false">
      <c r="E944" s="7"/>
    </row>
    <row r="945" customFormat="false" ht="13.8" hidden="false" customHeight="false" outlineLevel="0" collapsed="false">
      <c r="E945" s="7"/>
    </row>
    <row r="946" customFormat="false" ht="13.8" hidden="false" customHeight="false" outlineLevel="0" collapsed="false">
      <c r="E946" s="7"/>
    </row>
    <row r="947" customFormat="false" ht="13.8" hidden="false" customHeight="false" outlineLevel="0" collapsed="false">
      <c r="E947" s="7"/>
    </row>
    <row r="948" customFormat="false" ht="13.8" hidden="false" customHeight="false" outlineLevel="0" collapsed="false">
      <c r="E948" s="7"/>
    </row>
    <row r="949" customFormat="false" ht="13.8" hidden="false" customHeight="false" outlineLevel="0" collapsed="false">
      <c r="E949" s="7"/>
    </row>
    <row r="950" customFormat="false" ht="13.8" hidden="false" customHeight="false" outlineLevel="0" collapsed="false">
      <c r="E950" s="7"/>
    </row>
    <row r="951" customFormat="false" ht="13.8" hidden="false" customHeight="false" outlineLevel="0" collapsed="false">
      <c r="E951" s="7"/>
    </row>
    <row r="952" customFormat="false" ht="13.8" hidden="false" customHeight="false" outlineLevel="0" collapsed="false">
      <c r="E952" s="7"/>
    </row>
    <row r="953" customFormat="false" ht="13.8" hidden="false" customHeight="false" outlineLevel="0" collapsed="false">
      <c r="E953" s="7"/>
    </row>
    <row r="954" customFormat="false" ht="13.8" hidden="false" customHeight="false" outlineLevel="0" collapsed="false">
      <c r="E954" s="7"/>
    </row>
    <row r="955" customFormat="false" ht="13.8" hidden="false" customHeight="false" outlineLevel="0" collapsed="false">
      <c r="E955" s="7"/>
    </row>
    <row r="956" customFormat="false" ht="13.8" hidden="false" customHeight="false" outlineLevel="0" collapsed="false">
      <c r="E956" s="7"/>
    </row>
    <row r="957" customFormat="false" ht="13.8" hidden="false" customHeight="false" outlineLevel="0" collapsed="false">
      <c r="E957" s="7"/>
    </row>
    <row r="958" customFormat="false" ht="13.8" hidden="false" customHeight="false" outlineLevel="0" collapsed="false">
      <c r="E958" s="7"/>
    </row>
    <row r="959" customFormat="false" ht="13.8" hidden="false" customHeight="false" outlineLevel="0" collapsed="false">
      <c r="E959" s="7"/>
    </row>
    <row r="960" customFormat="false" ht="13.8" hidden="false" customHeight="false" outlineLevel="0" collapsed="false">
      <c r="E960" s="7"/>
    </row>
    <row r="961" customFormat="false" ht="13.8" hidden="false" customHeight="false" outlineLevel="0" collapsed="false">
      <c r="E961" s="7"/>
    </row>
    <row r="962" customFormat="false" ht="13.8" hidden="false" customHeight="false" outlineLevel="0" collapsed="false">
      <c r="E962" s="7"/>
    </row>
    <row r="963" customFormat="false" ht="13.8" hidden="false" customHeight="false" outlineLevel="0" collapsed="false">
      <c r="E963" s="7"/>
    </row>
    <row r="964" customFormat="false" ht="13.8" hidden="false" customHeight="false" outlineLevel="0" collapsed="false">
      <c r="E964" s="7"/>
    </row>
    <row r="965" customFormat="false" ht="13.8" hidden="false" customHeight="false" outlineLevel="0" collapsed="false">
      <c r="E965" s="7"/>
    </row>
    <row r="966" customFormat="false" ht="13.8" hidden="false" customHeight="false" outlineLevel="0" collapsed="false">
      <c r="E966" s="7"/>
    </row>
    <row r="967" customFormat="false" ht="13.8" hidden="false" customHeight="false" outlineLevel="0" collapsed="false">
      <c r="E967" s="7"/>
    </row>
    <row r="968" customFormat="false" ht="13.8" hidden="false" customHeight="false" outlineLevel="0" collapsed="false">
      <c r="E968" s="7"/>
    </row>
    <row r="969" customFormat="false" ht="13.8" hidden="false" customHeight="false" outlineLevel="0" collapsed="false">
      <c r="E969" s="7"/>
    </row>
    <row r="970" customFormat="false" ht="13.8" hidden="false" customHeight="false" outlineLevel="0" collapsed="false">
      <c r="E970" s="7"/>
    </row>
    <row r="971" customFormat="false" ht="13.8" hidden="false" customHeight="false" outlineLevel="0" collapsed="false">
      <c r="E971" s="7"/>
    </row>
    <row r="972" customFormat="false" ht="13.8" hidden="false" customHeight="false" outlineLevel="0" collapsed="false">
      <c r="E972" s="7"/>
    </row>
    <row r="973" customFormat="false" ht="13.8" hidden="false" customHeight="false" outlineLevel="0" collapsed="false">
      <c r="E973" s="7"/>
    </row>
    <row r="974" customFormat="false" ht="13.8" hidden="false" customHeight="false" outlineLevel="0" collapsed="false">
      <c r="E974" s="7"/>
    </row>
    <row r="975" customFormat="false" ht="13.8" hidden="false" customHeight="false" outlineLevel="0" collapsed="false">
      <c r="E975" s="7"/>
    </row>
    <row r="976" customFormat="false" ht="13.8" hidden="false" customHeight="false" outlineLevel="0" collapsed="false">
      <c r="E976" s="7"/>
    </row>
    <row r="977" customFormat="false" ht="13.8" hidden="false" customHeight="false" outlineLevel="0" collapsed="false">
      <c r="E977" s="7"/>
    </row>
    <row r="978" customFormat="false" ht="13.8" hidden="false" customHeight="false" outlineLevel="0" collapsed="false">
      <c r="E978" s="7"/>
    </row>
    <row r="979" customFormat="false" ht="13.8" hidden="false" customHeight="false" outlineLevel="0" collapsed="false">
      <c r="E979" s="7"/>
    </row>
    <row r="980" customFormat="false" ht="13.8" hidden="false" customHeight="false" outlineLevel="0" collapsed="false">
      <c r="E980" s="7"/>
    </row>
    <row r="981" customFormat="false" ht="13.8" hidden="false" customHeight="false" outlineLevel="0" collapsed="false">
      <c r="E981" s="7"/>
    </row>
    <row r="982" customFormat="false" ht="13.8" hidden="false" customHeight="false" outlineLevel="0" collapsed="false">
      <c r="E982" s="7"/>
    </row>
    <row r="983" customFormat="false" ht="13.8" hidden="false" customHeight="false" outlineLevel="0" collapsed="false">
      <c r="E983" s="7"/>
    </row>
    <row r="984" customFormat="false" ht="13.8" hidden="false" customHeight="false" outlineLevel="0" collapsed="false">
      <c r="E984" s="7"/>
    </row>
    <row r="985" customFormat="false" ht="13.8" hidden="false" customHeight="false" outlineLevel="0" collapsed="false">
      <c r="E985" s="7"/>
    </row>
    <row r="986" customFormat="false" ht="13.8" hidden="false" customHeight="false" outlineLevel="0" collapsed="false">
      <c r="E986" s="7"/>
    </row>
    <row r="987" customFormat="false" ht="13.8" hidden="false" customHeight="false" outlineLevel="0" collapsed="false">
      <c r="E987" s="7"/>
    </row>
    <row r="988" customFormat="false" ht="13.8" hidden="false" customHeight="false" outlineLevel="0" collapsed="false">
      <c r="E988" s="7"/>
    </row>
    <row r="989" customFormat="false" ht="13.8" hidden="false" customHeight="false" outlineLevel="0" collapsed="false">
      <c r="E989" s="7"/>
    </row>
    <row r="990" customFormat="false" ht="13.8" hidden="false" customHeight="false" outlineLevel="0" collapsed="false">
      <c r="E990" s="7"/>
    </row>
    <row r="991" customFormat="false" ht="13.8" hidden="false" customHeight="false" outlineLevel="0" collapsed="false">
      <c r="E991" s="7"/>
    </row>
    <row r="992" customFormat="false" ht="13.8" hidden="false" customHeight="false" outlineLevel="0" collapsed="false">
      <c r="E992" s="7"/>
    </row>
    <row r="993" customFormat="false" ht="13.8" hidden="false" customHeight="false" outlineLevel="0" collapsed="false">
      <c r="E993" s="7"/>
    </row>
    <row r="994" customFormat="false" ht="13.8" hidden="false" customHeight="false" outlineLevel="0" collapsed="false">
      <c r="E994" s="7"/>
    </row>
    <row r="995" customFormat="false" ht="13.8" hidden="false" customHeight="false" outlineLevel="0" collapsed="false">
      <c r="E995" s="7"/>
    </row>
    <row r="996" customFormat="false" ht="13.8" hidden="false" customHeight="false" outlineLevel="0" collapsed="false">
      <c r="E996" s="7"/>
    </row>
    <row r="997" customFormat="false" ht="13.8" hidden="false" customHeight="false" outlineLevel="0" collapsed="false">
      <c r="E997" s="7"/>
    </row>
    <row r="998" customFormat="false" ht="13.8" hidden="false" customHeight="false" outlineLevel="0" collapsed="false">
      <c r="E998" s="7"/>
    </row>
    <row r="999" customFormat="false" ht="13.8" hidden="false" customHeight="false" outlineLevel="0" collapsed="false">
      <c r="E999" s="7"/>
    </row>
    <row r="1000" customFormat="false" ht="13.8" hidden="false" customHeight="false" outlineLevel="0" collapsed="false">
      <c r="E1000" s="7"/>
    </row>
    <row r="1001" customFormat="false" ht="13.8" hidden="false" customHeight="false" outlineLevel="0" collapsed="false">
      <c r="E1001" s="7"/>
    </row>
    <row r="1002" customFormat="false" ht="13.8" hidden="false" customHeight="false" outlineLevel="0" collapsed="false">
      <c r="E1002" s="7"/>
    </row>
    <row r="1003" customFormat="false" ht="13.8" hidden="false" customHeight="false" outlineLevel="0" collapsed="false">
      <c r="E1003" s="7"/>
    </row>
    <row r="1004" customFormat="false" ht="13.8" hidden="false" customHeight="false" outlineLevel="0" collapsed="false">
      <c r="E1004" s="7"/>
    </row>
    <row r="1005" customFormat="false" ht="13.8" hidden="false" customHeight="false" outlineLevel="0" collapsed="false">
      <c r="E1005" s="7"/>
    </row>
    <row r="1006" customFormat="false" ht="13.8" hidden="false" customHeight="false" outlineLevel="0" collapsed="false">
      <c r="E1006" s="7"/>
    </row>
    <row r="1007" customFormat="false" ht="13.8" hidden="false" customHeight="false" outlineLevel="0" collapsed="false">
      <c r="E1007" s="7"/>
    </row>
    <row r="1008" customFormat="false" ht="13.8" hidden="false" customHeight="false" outlineLevel="0" collapsed="false">
      <c r="E1008" s="7"/>
    </row>
    <row r="1009" customFormat="false" ht="13.8" hidden="false" customHeight="false" outlineLevel="0" collapsed="false">
      <c r="E1009" s="7"/>
    </row>
    <row r="1010" customFormat="false" ht="13.8" hidden="false" customHeight="false" outlineLevel="0" collapsed="false">
      <c r="E1010" s="7"/>
    </row>
    <row r="1011" customFormat="false" ht="13.8" hidden="false" customHeight="false" outlineLevel="0" collapsed="false">
      <c r="E1011" s="7"/>
    </row>
    <row r="1012" customFormat="false" ht="13.8" hidden="false" customHeight="false" outlineLevel="0" collapsed="false">
      <c r="E1012" s="7"/>
    </row>
    <row r="1013" customFormat="false" ht="13.8" hidden="false" customHeight="false" outlineLevel="0" collapsed="false">
      <c r="E1013" s="7"/>
    </row>
    <row r="1014" customFormat="false" ht="13.8" hidden="false" customHeight="false" outlineLevel="0" collapsed="false">
      <c r="E1014" s="7"/>
    </row>
    <row r="1015" customFormat="false" ht="13.8" hidden="false" customHeight="false" outlineLevel="0" collapsed="false">
      <c r="E1015" s="7"/>
    </row>
    <row r="1016" customFormat="false" ht="13.8" hidden="false" customHeight="false" outlineLevel="0" collapsed="false">
      <c r="E1016" s="7"/>
    </row>
    <row r="1017" customFormat="false" ht="13.8" hidden="false" customHeight="false" outlineLevel="0" collapsed="false">
      <c r="E1017" s="7"/>
    </row>
    <row r="1018" customFormat="false" ht="13.8" hidden="false" customHeight="false" outlineLevel="0" collapsed="false">
      <c r="E1018" s="7"/>
    </row>
    <row r="1019" customFormat="false" ht="13.8" hidden="false" customHeight="false" outlineLevel="0" collapsed="false">
      <c r="E1019" s="7"/>
    </row>
    <row r="1020" customFormat="false" ht="13.8" hidden="false" customHeight="false" outlineLevel="0" collapsed="false">
      <c r="E1020" s="7"/>
    </row>
    <row r="1021" customFormat="false" ht="13.8" hidden="false" customHeight="false" outlineLevel="0" collapsed="false">
      <c r="E1021" s="7"/>
    </row>
    <row r="1022" customFormat="false" ht="13.8" hidden="false" customHeight="false" outlineLevel="0" collapsed="false">
      <c r="E1022" s="7"/>
    </row>
    <row r="1023" customFormat="false" ht="13.8" hidden="false" customHeight="false" outlineLevel="0" collapsed="false">
      <c r="E1023" s="7"/>
    </row>
    <row r="1024" customFormat="false" ht="13.8" hidden="false" customHeight="false" outlineLevel="0" collapsed="false">
      <c r="E1024" s="7"/>
    </row>
    <row r="1025" customFormat="false" ht="13.8" hidden="false" customHeight="false" outlineLevel="0" collapsed="false">
      <c r="E1025" s="7"/>
    </row>
    <row r="1026" customFormat="false" ht="13.8" hidden="false" customHeight="false" outlineLevel="0" collapsed="false">
      <c r="E1026" s="7"/>
    </row>
    <row r="1027" customFormat="false" ht="13.8" hidden="false" customHeight="false" outlineLevel="0" collapsed="false">
      <c r="E1027" s="7"/>
    </row>
    <row r="1028" customFormat="false" ht="13.8" hidden="false" customHeight="false" outlineLevel="0" collapsed="false">
      <c r="E1028" s="7"/>
    </row>
    <row r="1029" customFormat="false" ht="13.8" hidden="false" customHeight="false" outlineLevel="0" collapsed="false">
      <c r="E1029" s="7"/>
    </row>
    <row r="1030" customFormat="false" ht="13.8" hidden="false" customHeight="false" outlineLevel="0" collapsed="false">
      <c r="E1030" s="7"/>
    </row>
    <row r="1031" customFormat="false" ht="13.8" hidden="false" customHeight="false" outlineLevel="0" collapsed="false">
      <c r="E1031" s="7"/>
    </row>
    <row r="1032" customFormat="false" ht="13.8" hidden="false" customHeight="false" outlineLevel="0" collapsed="false">
      <c r="E1032" s="7"/>
    </row>
    <row r="1033" customFormat="false" ht="13.8" hidden="false" customHeight="false" outlineLevel="0" collapsed="false">
      <c r="E1033" s="7"/>
    </row>
    <row r="1034" customFormat="false" ht="13.8" hidden="false" customHeight="false" outlineLevel="0" collapsed="false">
      <c r="E1034" s="7"/>
    </row>
    <row r="1035" customFormat="false" ht="13.8" hidden="false" customHeight="false" outlineLevel="0" collapsed="false">
      <c r="E1035" s="7"/>
    </row>
    <row r="1036" customFormat="false" ht="13.8" hidden="false" customHeight="false" outlineLevel="0" collapsed="false">
      <c r="E1036" s="7"/>
    </row>
    <row r="1037" customFormat="false" ht="13.8" hidden="false" customHeight="false" outlineLevel="0" collapsed="false">
      <c r="E1037" s="7"/>
    </row>
    <row r="1038" customFormat="false" ht="13.8" hidden="false" customHeight="false" outlineLevel="0" collapsed="false">
      <c r="E1038" s="7"/>
    </row>
    <row r="1039" customFormat="false" ht="13.8" hidden="false" customHeight="false" outlineLevel="0" collapsed="false">
      <c r="E1039" s="7"/>
    </row>
    <row r="1040" customFormat="false" ht="13.8" hidden="false" customHeight="false" outlineLevel="0" collapsed="false">
      <c r="E1040" s="7"/>
    </row>
    <row r="1041" customFormat="false" ht="13.8" hidden="false" customHeight="false" outlineLevel="0" collapsed="false">
      <c r="E1041" s="7"/>
    </row>
    <row r="1042" customFormat="false" ht="13.8" hidden="false" customHeight="false" outlineLevel="0" collapsed="false">
      <c r="E1042" s="7"/>
    </row>
    <row r="1043" customFormat="false" ht="13.8" hidden="false" customHeight="false" outlineLevel="0" collapsed="false">
      <c r="E1043" s="7"/>
    </row>
    <row r="1044" customFormat="false" ht="13.8" hidden="false" customHeight="false" outlineLevel="0" collapsed="false">
      <c r="E1044" s="7"/>
    </row>
    <row r="1045" customFormat="false" ht="13.8" hidden="false" customHeight="false" outlineLevel="0" collapsed="false">
      <c r="E1045" s="7"/>
    </row>
    <row r="1046" customFormat="false" ht="13.8" hidden="false" customHeight="false" outlineLevel="0" collapsed="false">
      <c r="E1046" s="7"/>
    </row>
    <row r="1047" customFormat="false" ht="13.8" hidden="false" customHeight="false" outlineLevel="0" collapsed="false">
      <c r="E1047" s="7"/>
    </row>
    <row r="1048" customFormat="false" ht="13.8" hidden="false" customHeight="false" outlineLevel="0" collapsed="false">
      <c r="E1048" s="7"/>
    </row>
    <row r="1049" customFormat="false" ht="13.8" hidden="false" customHeight="false" outlineLevel="0" collapsed="false">
      <c r="E1049" s="7"/>
    </row>
    <row r="1050" customFormat="false" ht="13.8" hidden="false" customHeight="false" outlineLevel="0" collapsed="false">
      <c r="E1050" s="7"/>
    </row>
    <row r="1051" customFormat="false" ht="13.8" hidden="false" customHeight="false" outlineLevel="0" collapsed="false">
      <c r="E1051" s="7"/>
    </row>
    <row r="1052" customFormat="false" ht="13.8" hidden="false" customHeight="false" outlineLevel="0" collapsed="false">
      <c r="E1052" s="7"/>
    </row>
    <row r="1053" customFormat="false" ht="13.8" hidden="false" customHeight="false" outlineLevel="0" collapsed="false">
      <c r="E1053" s="7"/>
    </row>
    <row r="1054" customFormat="false" ht="13.8" hidden="false" customHeight="false" outlineLevel="0" collapsed="false">
      <c r="E1054" s="7"/>
    </row>
    <row r="1055" customFormat="false" ht="13.8" hidden="false" customHeight="false" outlineLevel="0" collapsed="false">
      <c r="E1055" s="7"/>
    </row>
    <row r="1056" customFormat="false" ht="13.8" hidden="false" customHeight="false" outlineLevel="0" collapsed="false">
      <c r="E1056" s="7"/>
    </row>
    <row r="1057" customFormat="false" ht="13.8" hidden="false" customHeight="false" outlineLevel="0" collapsed="false">
      <c r="E1057" s="7"/>
    </row>
    <row r="1058" customFormat="false" ht="13.8" hidden="false" customHeight="false" outlineLevel="0" collapsed="false">
      <c r="E1058" s="7"/>
    </row>
    <row r="1059" customFormat="false" ht="13.8" hidden="false" customHeight="false" outlineLevel="0" collapsed="false">
      <c r="E1059" s="7"/>
    </row>
    <row r="1060" customFormat="false" ht="13.8" hidden="false" customHeight="false" outlineLevel="0" collapsed="false">
      <c r="E1060" s="7"/>
    </row>
    <row r="1061" customFormat="false" ht="13.8" hidden="false" customHeight="false" outlineLevel="0" collapsed="false">
      <c r="E1061" s="7"/>
    </row>
    <row r="1062" customFormat="false" ht="13.8" hidden="false" customHeight="false" outlineLevel="0" collapsed="false">
      <c r="E1062" s="7"/>
    </row>
    <row r="1063" customFormat="false" ht="13.8" hidden="false" customHeight="false" outlineLevel="0" collapsed="false">
      <c r="E1063" s="7"/>
    </row>
    <row r="1064" customFormat="false" ht="13.8" hidden="false" customHeight="false" outlineLevel="0" collapsed="false">
      <c r="E1064" s="7"/>
    </row>
    <row r="1065" customFormat="false" ht="13.8" hidden="false" customHeight="false" outlineLevel="0" collapsed="false">
      <c r="E1065" s="7"/>
    </row>
    <row r="1066" customFormat="false" ht="13.8" hidden="false" customHeight="false" outlineLevel="0" collapsed="false">
      <c r="E1066" s="7"/>
    </row>
    <row r="1067" customFormat="false" ht="13.8" hidden="false" customHeight="false" outlineLevel="0" collapsed="false">
      <c r="E1067" s="7"/>
    </row>
    <row r="1068" customFormat="false" ht="13.8" hidden="false" customHeight="false" outlineLevel="0" collapsed="false">
      <c r="E1068" s="7"/>
    </row>
    <row r="1069" customFormat="false" ht="13.8" hidden="false" customHeight="false" outlineLevel="0" collapsed="false">
      <c r="E1069" s="7"/>
    </row>
    <row r="1070" customFormat="false" ht="13.8" hidden="false" customHeight="false" outlineLevel="0" collapsed="false">
      <c r="E1070" s="7"/>
    </row>
    <row r="1071" customFormat="false" ht="13.8" hidden="false" customHeight="false" outlineLevel="0" collapsed="false">
      <c r="E1071" s="7"/>
    </row>
    <row r="1072" customFormat="false" ht="13.8" hidden="false" customHeight="false" outlineLevel="0" collapsed="false">
      <c r="E1072" s="7"/>
    </row>
    <row r="1073" customFormat="false" ht="13.8" hidden="false" customHeight="false" outlineLevel="0" collapsed="false">
      <c r="E1073" s="7"/>
    </row>
    <row r="1074" customFormat="false" ht="13.8" hidden="false" customHeight="false" outlineLevel="0" collapsed="false">
      <c r="E1074" s="7"/>
    </row>
    <row r="1075" customFormat="false" ht="13.8" hidden="false" customHeight="false" outlineLevel="0" collapsed="false">
      <c r="E1075" s="7"/>
    </row>
    <row r="1076" customFormat="false" ht="13.8" hidden="false" customHeight="false" outlineLevel="0" collapsed="false">
      <c r="E1076" s="7"/>
    </row>
    <row r="1077" customFormat="false" ht="13.8" hidden="false" customHeight="false" outlineLevel="0" collapsed="false">
      <c r="E1077" s="7"/>
    </row>
    <row r="1078" customFormat="false" ht="13.8" hidden="false" customHeight="false" outlineLevel="0" collapsed="false">
      <c r="E1078" s="7"/>
    </row>
    <row r="1079" customFormat="false" ht="13.8" hidden="false" customHeight="false" outlineLevel="0" collapsed="false">
      <c r="E1079" s="7"/>
    </row>
    <row r="1080" customFormat="false" ht="13.8" hidden="false" customHeight="false" outlineLevel="0" collapsed="false">
      <c r="E1080" s="7"/>
    </row>
    <row r="1081" customFormat="false" ht="13.8" hidden="false" customHeight="false" outlineLevel="0" collapsed="false">
      <c r="E1081" s="7"/>
    </row>
    <row r="1082" customFormat="false" ht="13.8" hidden="false" customHeight="false" outlineLevel="0" collapsed="false">
      <c r="E1082" s="7"/>
    </row>
    <row r="1083" customFormat="false" ht="13.8" hidden="false" customHeight="false" outlineLevel="0" collapsed="false">
      <c r="E1083" s="7"/>
    </row>
    <row r="1084" customFormat="false" ht="13.8" hidden="false" customHeight="false" outlineLevel="0" collapsed="false">
      <c r="E1084" s="7"/>
    </row>
    <row r="1085" customFormat="false" ht="13.8" hidden="false" customHeight="false" outlineLevel="0" collapsed="false">
      <c r="E1085" s="7"/>
    </row>
    <row r="1086" customFormat="false" ht="13.8" hidden="false" customHeight="false" outlineLevel="0" collapsed="false">
      <c r="E1086" s="7"/>
    </row>
    <row r="1087" customFormat="false" ht="13.8" hidden="false" customHeight="false" outlineLevel="0" collapsed="false">
      <c r="E1087" s="7"/>
    </row>
    <row r="1088" customFormat="false" ht="13.8" hidden="false" customHeight="false" outlineLevel="0" collapsed="false">
      <c r="E1088" s="7"/>
    </row>
    <row r="1089" customFormat="false" ht="13.8" hidden="false" customHeight="false" outlineLevel="0" collapsed="false">
      <c r="E1089" s="7"/>
    </row>
    <row r="1090" customFormat="false" ht="13.8" hidden="false" customHeight="false" outlineLevel="0" collapsed="false">
      <c r="E1090" s="7"/>
    </row>
    <row r="1091" customFormat="false" ht="13.8" hidden="false" customHeight="false" outlineLevel="0" collapsed="false">
      <c r="E1091" s="7"/>
    </row>
    <row r="1092" customFormat="false" ht="13.8" hidden="false" customHeight="false" outlineLevel="0" collapsed="false">
      <c r="E1092" s="7"/>
    </row>
    <row r="1093" customFormat="false" ht="13.8" hidden="false" customHeight="false" outlineLevel="0" collapsed="false">
      <c r="E1093" s="7"/>
    </row>
    <row r="1094" customFormat="false" ht="13.8" hidden="false" customHeight="false" outlineLevel="0" collapsed="false">
      <c r="E1094" s="7"/>
    </row>
    <row r="1095" customFormat="false" ht="13.8" hidden="false" customHeight="false" outlineLevel="0" collapsed="false">
      <c r="E1095" s="7"/>
    </row>
    <row r="1096" customFormat="false" ht="13.8" hidden="false" customHeight="false" outlineLevel="0" collapsed="false">
      <c r="E1096" s="7"/>
    </row>
    <row r="1097" customFormat="false" ht="13.8" hidden="false" customHeight="false" outlineLevel="0" collapsed="false">
      <c r="E1097" s="7"/>
    </row>
    <row r="1098" customFormat="false" ht="13.8" hidden="false" customHeight="false" outlineLevel="0" collapsed="false">
      <c r="E1098" s="7"/>
    </row>
    <row r="1099" customFormat="false" ht="13.8" hidden="false" customHeight="false" outlineLevel="0" collapsed="false">
      <c r="E1099" s="7"/>
    </row>
    <row r="1100" customFormat="false" ht="13.8" hidden="false" customHeight="false" outlineLevel="0" collapsed="false">
      <c r="E1100" s="7"/>
    </row>
    <row r="1101" customFormat="false" ht="13.8" hidden="false" customHeight="false" outlineLevel="0" collapsed="false">
      <c r="E1101" s="7"/>
    </row>
    <row r="1102" customFormat="false" ht="13.8" hidden="false" customHeight="false" outlineLevel="0" collapsed="false">
      <c r="E1102" s="7"/>
    </row>
    <row r="1103" customFormat="false" ht="13.8" hidden="false" customHeight="false" outlineLevel="0" collapsed="false">
      <c r="E1103" s="7"/>
    </row>
    <row r="1104" customFormat="false" ht="13.8" hidden="false" customHeight="false" outlineLevel="0" collapsed="false">
      <c r="E1104" s="7"/>
    </row>
    <row r="1105" customFormat="false" ht="13.8" hidden="false" customHeight="false" outlineLevel="0" collapsed="false">
      <c r="E1105" s="7"/>
    </row>
    <row r="1106" customFormat="false" ht="13.8" hidden="false" customHeight="false" outlineLevel="0" collapsed="false">
      <c r="E1106" s="7"/>
    </row>
    <row r="1107" customFormat="false" ht="13.8" hidden="false" customHeight="false" outlineLevel="0" collapsed="false">
      <c r="E1107" s="7"/>
    </row>
    <row r="1108" customFormat="false" ht="13.8" hidden="false" customHeight="false" outlineLevel="0" collapsed="false">
      <c r="E1108" s="7"/>
    </row>
    <row r="1109" customFormat="false" ht="13.8" hidden="false" customHeight="false" outlineLevel="0" collapsed="false">
      <c r="E1109" s="7"/>
    </row>
    <row r="1110" customFormat="false" ht="13.8" hidden="false" customHeight="false" outlineLevel="0" collapsed="false">
      <c r="E1110" s="7"/>
    </row>
    <row r="1111" customFormat="false" ht="13.8" hidden="false" customHeight="false" outlineLevel="0" collapsed="false">
      <c r="E1111" s="7"/>
    </row>
    <row r="1112" customFormat="false" ht="13.8" hidden="false" customHeight="false" outlineLevel="0" collapsed="false">
      <c r="E1112" s="7"/>
    </row>
    <row r="1113" customFormat="false" ht="13.8" hidden="false" customHeight="false" outlineLevel="0" collapsed="false">
      <c r="E1113" s="7"/>
    </row>
    <row r="1114" customFormat="false" ht="13.8" hidden="false" customHeight="false" outlineLevel="0" collapsed="false">
      <c r="E1114" s="7"/>
    </row>
    <row r="1115" customFormat="false" ht="13.8" hidden="false" customHeight="false" outlineLevel="0" collapsed="false">
      <c r="E1115" s="7"/>
    </row>
    <row r="1116" customFormat="false" ht="13.8" hidden="false" customHeight="false" outlineLevel="0" collapsed="false">
      <c r="E1116" s="7"/>
    </row>
    <row r="1117" customFormat="false" ht="13.8" hidden="false" customHeight="false" outlineLevel="0" collapsed="false">
      <c r="E1117" s="7"/>
    </row>
    <row r="1118" customFormat="false" ht="13.8" hidden="false" customHeight="false" outlineLevel="0" collapsed="false">
      <c r="E1118" s="7"/>
    </row>
    <row r="1119" customFormat="false" ht="13.8" hidden="false" customHeight="false" outlineLevel="0" collapsed="false">
      <c r="E1119" s="7"/>
    </row>
    <row r="1120" customFormat="false" ht="13.8" hidden="false" customHeight="false" outlineLevel="0" collapsed="false">
      <c r="E1120" s="7"/>
    </row>
    <row r="1121" customFormat="false" ht="13.8" hidden="false" customHeight="false" outlineLevel="0" collapsed="false">
      <c r="E1121" s="7"/>
    </row>
    <row r="1122" customFormat="false" ht="13.8" hidden="false" customHeight="false" outlineLevel="0" collapsed="false">
      <c r="E1122" s="7"/>
    </row>
    <row r="1123" customFormat="false" ht="13.8" hidden="false" customHeight="false" outlineLevel="0" collapsed="false">
      <c r="E1123" s="7"/>
    </row>
    <row r="1124" customFormat="false" ht="13.8" hidden="false" customHeight="false" outlineLevel="0" collapsed="false">
      <c r="E1124" s="7"/>
    </row>
    <row r="1125" customFormat="false" ht="13.8" hidden="false" customHeight="false" outlineLevel="0" collapsed="false">
      <c r="E1125" s="7"/>
    </row>
    <row r="1126" customFormat="false" ht="13.8" hidden="false" customHeight="false" outlineLevel="0" collapsed="false">
      <c r="E1126" s="7"/>
    </row>
    <row r="1127" customFormat="false" ht="13.8" hidden="false" customHeight="false" outlineLevel="0" collapsed="false">
      <c r="E1127" s="7"/>
    </row>
    <row r="1128" customFormat="false" ht="13.8" hidden="false" customHeight="false" outlineLevel="0" collapsed="false">
      <c r="E1128" s="7"/>
    </row>
    <row r="1129" customFormat="false" ht="13.8" hidden="false" customHeight="false" outlineLevel="0" collapsed="false">
      <c r="E1129" s="7"/>
    </row>
    <row r="1130" customFormat="false" ht="13.8" hidden="false" customHeight="false" outlineLevel="0" collapsed="false">
      <c r="E1130" s="7"/>
    </row>
    <row r="1131" customFormat="false" ht="13.8" hidden="false" customHeight="false" outlineLevel="0" collapsed="false">
      <c r="E1131" s="7"/>
    </row>
    <row r="1132" customFormat="false" ht="13.8" hidden="false" customHeight="false" outlineLevel="0" collapsed="false">
      <c r="E1132" s="7"/>
    </row>
    <row r="1133" customFormat="false" ht="13.8" hidden="false" customHeight="false" outlineLevel="0" collapsed="false">
      <c r="E1133" s="7"/>
    </row>
    <row r="1134" customFormat="false" ht="13.8" hidden="false" customHeight="false" outlineLevel="0" collapsed="false">
      <c r="E1134" s="7"/>
    </row>
    <row r="1135" customFormat="false" ht="13.8" hidden="false" customHeight="false" outlineLevel="0" collapsed="false">
      <c r="E1135" s="7"/>
    </row>
    <row r="1136" customFormat="false" ht="13.8" hidden="false" customHeight="false" outlineLevel="0" collapsed="false">
      <c r="E1136" s="7"/>
    </row>
    <row r="1137" customFormat="false" ht="13.8" hidden="false" customHeight="false" outlineLevel="0" collapsed="false">
      <c r="E1137" s="7"/>
    </row>
    <row r="1138" customFormat="false" ht="13.8" hidden="false" customHeight="false" outlineLevel="0" collapsed="false">
      <c r="E1138" s="7"/>
    </row>
    <row r="1139" customFormat="false" ht="13.8" hidden="false" customHeight="false" outlineLevel="0" collapsed="false">
      <c r="E1139" s="7"/>
    </row>
    <row r="1140" customFormat="false" ht="13.8" hidden="false" customHeight="false" outlineLevel="0" collapsed="false">
      <c r="E1140" s="7"/>
    </row>
    <row r="1141" customFormat="false" ht="13.8" hidden="false" customHeight="false" outlineLevel="0" collapsed="false">
      <c r="E1141" s="7"/>
    </row>
    <row r="1142" customFormat="false" ht="13.8" hidden="false" customHeight="false" outlineLevel="0" collapsed="false">
      <c r="E1142" s="7"/>
    </row>
    <row r="1143" customFormat="false" ht="13.8" hidden="false" customHeight="false" outlineLevel="0" collapsed="false">
      <c r="E1143" s="7"/>
    </row>
    <row r="1144" customFormat="false" ht="13.8" hidden="false" customHeight="false" outlineLevel="0" collapsed="false">
      <c r="E1144" s="7"/>
    </row>
    <row r="1145" customFormat="false" ht="13.8" hidden="false" customHeight="false" outlineLevel="0" collapsed="false">
      <c r="E1145" s="7"/>
    </row>
    <row r="1146" customFormat="false" ht="13.8" hidden="false" customHeight="false" outlineLevel="0" collapsed="false">
      <c r="E1146" s="7"/>
    </row>
    <row r="1147" customFormat="false" ht="13.8" hidden="false" customHeight="false" outlineLevel="0" collapsed="false">
      <c r="E1147" s="7"/>
    </row>
    <row r="1148" customFormat="false" ht="13.8" hidden="false" customHeight="false" outlineLevel="0" collapsed="false">
      <c r="E1148" s="7"/>
    </row>
    <row r="1149" customFormat="false" ht="13.8" hidden="false" customHeight="false" outlineLevel="0" collapsed="false">
      <c r="E1149" s="7"/>
    </row>
    <row r="1150" customFormat="false" ht="13.8" hidden="false" customHeight="false" outlineLevel="0" collapsed="false">
      <c r="E1150" s="7"/>
    </row>
    <row r="1151" customFormat="false" ht="13.8" hidden="false" customHeight="false" outlineLevel="0" collapsed="false">
      <c r="E1151" s="7"/>
    </row>
    <row r="1152" customFormat="false" ht="13.8" hidden="false" customHeight="false" outlineLevel="0" collapsed="false">
      <c r="E1152" s="7"/>
    </row>
    <row r="1153" customFormat="false" ht="13.8" hidden="false" customHeight="false" outlineLevel="0" collapsed="false">
      <c r="E1153" s="7"/>
    </row>
    <row r="1154" customFormat="false" ht="13.8" hidden="false" customHeight="false" outlineLevel="0" collapsed="false">
      <c r="E1154" s="7"/>
    </row>
    <row r="1155" customFormat="false" ht="13.8" hidden="false" customHeight="false" outlineLevel="0" collapsed="false">
      <c r="E1155" s="7"/>
    </row>
    <row r="1156" customFormat="false" ht="13.8" hidden="false" customHeight="false" outlineLevel="0" collapsed="false">
      <c r="E1156" s="7"/>
    </row>
    <row r="1157" customFormat="false" ht="13.8" hidden="false" customHeight="false" outlineLevel="0" collapsed="false">
      <c r="E1157" s="7"/>
    </row>
    <row r="1158" customFormat="false" ht="13.8" hidden="false" customHeight="false" outlineLevel="0" collapsed="false">
      <c r="E1158" s="7"/>
    </row>
    <row r="1159" customFormat="false" ht="13.8" hidden="false" customHeight="false" outlineLevel="0" collapsed="false">
      <c r="E1159" s="7"/>
    </row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5"/>
    <col collapsed="false" customWidth="true" hidden="false" outlineLevel="0" max="5" min="5" style="0" width="22.24"/>
  </cols>
  <sheetData>
    <row r="1" customFormat="false" ht="15.7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customFormat="false" ht="15.75" hidden="false" customHeight="false" outlineLevel="0" collapsed="false">
      <c r="A2" s="11" t="n">
        <f aca="false">IFERROR(__xludf.dummyfunction("IMPORTXML(getIdItems(""https://www.lustrof.ru/category/ofis/kanctovary/pismennye-i-chertezhnye-prinadlezhnosti/?page="",1),""//span[@class='products__item-info-code-v']"")"),203467)</f>
        <v>203467</v>
      </c>
      <c r="B2" s="11" t="str">
        <f aca="false">IFERROR(__xludf.dummyfunction("IMPORTXML(getIdItems(""https://www.lustrof.ru/category/ofis/kanctovary/pismennye-i-chertezhnye-prinadlezhnosti/?page="",1),""//span[@class='products__item-info-name']"")"),"Воск для ремонта мебели EDDING 8901 НАБОР 3 шт. (151292)")</f>
        <v>Воск для ремонта мебели EDDING 8901 НАБОР 3 шт. (151292)</v>
      </c>
      <c r="C2" s="11" t="str">
        <f aca="false">IFERROR(__xludf.dummyfunction("IMPORTXML(getIdItems(""https://www.lustrof.ru/category/ofis/kanctovary/pismennye-i-chertezhnye-prinadlezhnosti/?page="",1),""//span[@class='products__available-in-stock']"")"),"В наличии 30")</f>
        <v>В наличии 30</v>
      </c>
      <c r="D2" s="11" t="n">
        <f aca="false">IFERROR(__xludf.dummyfunction("IMPORTXML(getIdItems(""https://www.lustrof.ru/category/ofis/kanctovary/pismennye-i-chertezhnye-prinadlezhnosti/?page="",1),""//span[@class='products__price-new']/text()"")"),739)</f>
        <v>739</v>
      </c>
      <c r="E2" s="11" t="str">
        <f aca="false">IFERROR(__xludf.dummyfunction("IMPORTXML(getIdItems(""https://www.lustrof.ru/category/ofis/kanctovary/pismennye-i-chertezhnye-prinadlezhnosti/?page="",1),""//div[@class='products__item']/a/@href"")"),"/vosk-dlya-remonta-mebeli-edding-8901-nabor-3-sht-151292-/")</f>
        <v>/vosk-dlya-remonta-mebeli-edding-8901-nabor-3-sht-151292-/</v>
      </c>
    </row>
    <row r="3" customFormat="false" ht="15.75" hidden="false" customHeight="false" outlineLevel="0" collapsed="false">
      <c r="A3" s="11" t="n">
        <f aca="false">IFERROR(__xludf.dummyfunction("""COMPUTED_VALUE"""),205910)</f>
        <v>205910</v>
      </c>
      <c r="B3" s="11" t="str">
        <f aca="false">IFERROR(__xludf.dummyfunction("""COMPUTED_VALUE"""),"Готовальня 8 предметов (210420)")</f>
        <v>Готовальня 8 предметов (210420)</v>
      </c>
      <c r="C3" s="11" t="str">
        <f aca="false">IFERROR(__xludf.dummyfunction("""COMPUTED_VALUE"""),"В наличии 135")</f>
        <v>В наличии 135</v>
      </c>
      <c r="D3" s="11" t="n">
        <f aca="false">IFERROR(__xludf.dummyfunction("""COMPUTED_VALUE"""),548)</f>
        <v>548</v>
      </c>
      <c r="E3" s="11" t="str">
        <f aca="false">IFERROR(__xludf.dummyfunction("""COMPUTED_VALUE"""),"/gotovalnya-8-predmetov-210420-/")</f>
        <v>/gotovalnya-8-predmetov-210420-/</v>
      </c>
    </row>
    <row r="4" customFormat="false" ht="15.75" hidden="false" customHeight="false" outlineLevel="0" collapsed="false">
      <c r="A4" s="11" t="n">
        <f aca="false">IFERROR(__xludf.dummyfunction("""COMPUTED_VALUE"""),206102)</f>
        <v>206102</v>
      </c>
      <c r="B4" s="11" t="str">
        <f aca="false">IFERROR(__xludf.dummyfunction("""COMPUTED_VALUE"""),"Готовальня BRAUBERG ""Architect"" (210659)")</f>
        <v>Готовальня BRAUBERG "Architect" (210659)</v>
      </c>
      <c r="C4" s="11" t="str">
        <f aca="false">IFERROR(__xludf.dummyfunction("""COMPUTED_VALUE"""),"В наличии 2164")</f>
        <v>В наличии 2164</v>
      </c>
      <c r="D4" s="11" t="n">
        <f aca="false">IFERROR(__xludf.dummyfunction("""COMPUTED_VALUE"""),398)</f>
        <v>398</v>
      </c>
      <c r="E4" s="11" t="str">
        <f aca="false">IFERROR(__xludf.dummyfunction("""COMPUTED_VALUE"""),"/gotovalnya-brauberg-architect-210659-/")</f>
        <v>/gotovalnya-brauberg-architect-210659-/</v>
      </c>
    </row>
    <row r="5" customFormat="false" ht="15.75" hidden="false" customHeight="false" outlineLevel="0" collapsed="false">
      <c r="A5" s="11" t="n">
        <f aca="false">IFERROR(__xludf.dummyfunction("""COMPUTED_VALUE"""),205871)</f>
        <v>205871</v>
      </c>
      <c r="B5" s="11" t="str">
        <f aca="false">IFERROR(__xludf.dummyfunction("""COMPUTED_VALUE"""),"Готовальня BRAUBERG ""Architect"", 7 предметов: циркуль + кронциркуль с 
рейсфедором, рейсфедер + держатель, 2 вставки, грифель (210346)")</f>
        <v>Готовальня BRAUBERG "Architect", 7 предметов: циркуль + кронциркуль с 
рейсфедором, рейсфедер + держатель, 2 вставки, грифель (210346)</v>
      </c>
      <c r="C5" s="11" t="str">
        <f aca="false">IFERROR(__xludf.dummyfunction("""COMPUTED_VALUE"""),"В наличии 8")</f>
        <v>В наличии 8</v>
      </c>
      <c r="D5" s="11" t="n">
        <f aca="false">IFERROR(__xludf.dummyfunction("""COMPUTED_VALUE"""),401)</f>
        <v>401</v>
      </c>
      <c r="E5" s="11" t="str">
        <f aca="false">IFERROR(__xludf.dummyfunction("""COMPUTED_VALUE"""),"/gotovalnya-brauberg-architect-7-predmetov-cirkul-kroncirkul-s-rejsfedorom-rejsfeder-derzhatel-2-vstavki-grifel-210346-/")</f>
        <v>/gotovalnya-brauberg-architect-7-predmetov-cirkul-kroncirkul-s-rejsfedorom-rejsfeder-derzhatel-2-vstavki-grifel-210346-/</v>
      </c>
    </row>
    <row r="6" customFormat="false" ht="15.75" hidden="false" customHeight="false" outlineLevel="0" collapsed="false">
      <c r="A6" s="11" t="n">
        <f aca="false">IFERROR(__xludf.dummyfunction("""COMPUTED_VALUE"""),269092)</f>
        <v>269092</v>
      </c>
      <c r="B6" s="11" t="str">
        <f aca="false">IFERROR(__xludf.dummyfunction("""COMPUTED_VALUE"""),"Готовальня BRAUBERG ""Extra"", 3 предмета (циркуль 120 мм, точилка, грифель), 
в пенале, 210685 (210685)")</f>
        <v>Готовальня BRAUBERG "Extra", 3 предмета (циркуль 120 мм, точилка, грифель), 
в пенале, 210685 (210685)</v>
      </c>
      <c r="C6" s="11" t="str">
        <f aca="false">IFERROR(__xludf.dummyfunction("""COMPUTED_VALUE"""),"В наличии 4517")</f>
        <v>В наличии 4517</v>
      </c>
      <c r="D6" s="11" t="n">
        <f aca="false">IFERROR(__xludf.dummyfunction("""COMPUTED_VALUE"""),191)</f>
        <v>191</v>
      </c>
      <c r="E6" s="11" t="str">
        <f aca="false">IFERROR(__xludf.dummyfunction("""COMPUTED_VALUE"""),"/gotovalnya-brauberg-extra-3-predmeta-cirkul-120-mm-tochilka-grifel-v-penale-210685-210685-/")</f>
        <v>/gotovalnya-brauberg-extra-3-predmeta-cirkul-120-mm-tochilka-grifel-v-penale-210685-210685-/</v>
      </c>
    </row>
    <row r="7" customFormat="false" ht="15.75" hidden="false" customHeight="false" outlineLevel="0" collapsed="false">
      <c r="A7" s="11" t="n">
        <f aca="false">IFERROR(__xludf.dummyfunction("""COMPUTED_VALUE"""),269093)</f>
        <v>269093</v>
      </c>
      <c r="B7" s="11" t="str">
        <f aca="false">IFERROR(__xludf.dummyfunction("""COMPUTED_VALUE"""),"Готовальня BRAUBERG ""Extra"", 4 предмета (циркуль 120 мм, точилка, отвёртка, 
грифель), 210686 (210686)")</f>
        <v>Готовальня BRAUBERG "Extra", 4 предмета (циркуль 120 мм, точилка, отвёртка, 
грифель), 210686 (210686)</v>
      </c>
      <c r="C7" s="11" t="str">
        <f aca="false">IFERROR(__xludf.dummyfunction("""COMPUTED_VALUE"""),"В наличии 981")</f>
        <v>В наличии 981</v>
      </c>
      <c r="D7" s="11" t="n">
        <f aca="false">IFERROR(__xludf.dummyfunction("""COMPUTED_VALUE"""),196)</f>
        <v>196</v>
      </c>
      <c r="E7" s="11" t="str">
        <f aca="false">IFERROR(__xludf.dummyfunction("""COMPUTED_VALUE"""),"/gotovalnya-brauberg-extra-4-predmeta-cirkul-120-mm-tochilka-otvyortka-grifel-210686-210686-/")</f>
        <v>/gotovalnya-brauberg-extra-4-predmeta-cirkul-120-mm-tochilka-otvyortka-grifel-210686-210686-/</v>
      </c>
    </row>
    <row r="8" customFormat="false" ht="15.75" hidden="false" customHeight="false" outlineLevel="0" collapsed="false">
      <c r="A8" s="11" t="n">
        <f aca="false">IFERROR(__xludf.dummyfunction("""COMPUTED_VALUE"""),269094)</f>
        <v>269094</v>
      </c>
      <c r="B8" s="11" t="str">
        <f aca="false">IFERROR(__xludf.dummyfunction("""COMPUTED_VALUE"""),"Готовальня BRAUBERG ""Extra"", 5 предметов (циркуль 120 мм, резинка, точилка, 
отвёртка, грифель), 210687 (210687)")</f>
        <v>Готовальня BRAUBERG "Extra", 5 предметов (циркуль 120 мм, резинка, точилка, 
отвёртка, грифель), 210687 (210687)</v>
      </c>
      <c r="C8" s="11" t="str">
        <f aca="false">IFERROR(__xludf.dummyfunction("""COMPUTED_VALUE"""),"В наличии 2051")</f>
        <v>В наличии 2051</v>
      </c>
      <c r="D8" s="11" t="n">
        <f aca="false">IFERROR(__xludf.dummyfunction("""COMPUTED_VALUE"""),239)</f>
        <v>239</v>
      </c>
      <c r="E8" s="11" t="str">
        <f aca="false">IFERROR(__xludf.dummyfunction("""COMPUTED_VALUE"""),"/gotovalnya-brauberg-extra-5-predmetov-cirkul-120-mm-rezinka-tochilka-otvyortka-grifel-210687-210687-/")</f>
        <v>/gotovalnya-brauberg-extra-5-predmetov-cirkul-120-mm-rezinka-tochilka-otvyortka-grifel-210687-210687-/</v>
      </c>
    </row>
    <row r="9" customFormat="false" ht="15.75" hidden="false" customHeight="false" outlineLevel="0" collapsed="false">
      <c r="A9" s="11" t="n">
        <f aca="false">IFERROR(__xludf.dummyfunction("""COMPUTED_VALUE"""),205870)</f>
        <v>205870</v>
      </c>
      <c r="B9" s="11" t="str">
        <f aca="false">IFERROR(__xludf.dummyfunction("""COMPUTED_VALUE"""),"Готовальня BRAUBERG ""Klasse"" (210344)")</f>
        <v>Готовальня BRAUBERG "Klasse" (210344)</v>
      </c>
      <c r="C9" s="11" t="str">
        <f aca="false">IFERROR(__xludf.dummyfunction("""COMPUTED_VALUE"""),"В наличии 99")</f>
        <v>В наличии 99</v>
      </c>
      <c r="D9" s="11" t="n">
        <f aca="false">IFERROR(__xludf.dummyfunction("""COMPUTED_VALUE"""),409)</f>
        <v>409</v>
      </c>
      <c r="E9" s="11" t="str">
        <f aca="false">IFERROR(__xludf.dummyfunction("""COMPUTED_VALUE"""),"/gotovalnya-brauberg-klasse-210344-/")</f>
        <v>/gotovalnya-brauberg-klasse-210344-/</v>
      </c>
    </row>
    <row r="10" customFormat="false" ht="15.75" hidden="false" customHeight="false" outlineLevel="0" collapsed="false">
      <c r="A10" s="11" t="n">
        <f aca="false">IFERROR(__xludf.dummyfunction("""COMPUTED_VALUE"""),206106)</f>
        <v>206106</v>
      </c>
      <c r="B10" s="11" t="str">
        <f aca="false">IFERROR(__xludf.dummyfunction("""COMPUTED_VALUE"""),"Готовальня BRAUBERG ""Modern"" (210663)")</f>
        <v>Готовальня BRAUBERG "Modern" (210663)</v>
      </c>
      <c r="C10" s="11" t="str">
        <f aca="false">IFERROR(__xludf.dummyfunction("""COMPUTED_VALUE"""),"В наличии 3427")</f>
        <v>В наличии 3427</v>
      </c>
      <c r="D10" s="11" t="n">
        <f aca="false">IFERROR(__xludf.dummyfunction("""COMPUTED_VALUE"""),213)</f>
        <v>213</v>
      </c>
      <c r="E10" s="11" t="str">
        <f aca="false">IFERROR(__xludf.dummyfunction("""COMPUTED_VALUE"""),"/gotovalnya-brauberg-modern-210663-/")</f>
        <v>/gotovalnya-brauberg-modern-210663-/</v>
      </c>
    </row>
    <row r="11" customFormat="false" ht="15.75" hidden="false" customHeight="false" outlineLevel="0" collapsed="false">
      <c r="A11" s="11" t="n">
        <f aca="false">IFERROR(__xludf.dummyfunction("""COMPUTED_VALUE"""),206108)</f>
        <v>206108</v>
      </c>
      <c r="B11" s="11" t="str">
        <f aca="false">IFERROR(__xludf.dummyfunction("""COMPUTED_VALUE"""),"Готовальня BRAUBERG ""Modern"" (210665)")</f>
        <v>Готовальня BRAUBERG "Modern" (210665)</v>
      </c>
      <c r="C11" s="11" t="str">
        <f aca="false">IFERROR(__xludf.dummyfunction("""COMPUTED_VALUE"""),"В наличии 2846")</f>
        <v>В наличии 2846</v>
      </c>
      <c r="D11" s="11" t="n">
        <f aca="false">IFERROR(__xludf.dummyfunction("""COMPUTED_VALUE"""),248)</f>
        <v>248</v>
      </c>
      <c r="E11" s="11" t="str">
        <f aca="false">IFERROR(__xludf.dummyfunction("""COMPUTED_VALUE"""),"/gotovalnya-brauberg-modern-210665-/")</f>
        <v>/gotovalnya-brauberg-modern-210665-/</v>
      </c>
    </row>
    <row r="12" customFormat="false" ht="15.75" hidden="false" customHeight="false" outlineLevel="0" collapsed="false">
      <c r="A12" s="11" t="n">
        <f aca="false">IFERROR(__xludf.dummyfunction("""COMPUTED_VALUE"""),205868)</f>
        <v>205868</v>
      </c>
      <c r="B12" s="11" t="str">
        <f aca="false">IFERROR(__xludf.dummyfunction("""COMPUTED_VALUE"""),"Готовальня BRAUBERG ""Student Oxford"" (210338)")</f>
        <v>Готовальня BRAUBERG "Student Oxford" (210338)</v>
      </c>
      <c r="C12" s="11" t="str">
        <f aca="false">IFERROR(__xludf.dummyfunction("""COMPUTED_VALUE"""),"В наличии 506")</f>
        <v>В наличии 506</v>
      </c>
      <c r="D12" s="11" t="n">
        <f aca="false">IFERROR(__xludf.dummyfunction("""COMPUTED_VALUE"""),427)</f>
        <v>427</v>
      </c>
      <c r="E12" s="11" t="str">
        <f aca="false">IFERROR(__xludf.dummyfunction("""COMPUTED_VALUE"""),"/gotovalnya-brauberg-student-oxford-210338-/")</f>
        <v>/gotovalnya-brauberg-student-oxford-210338-/</v>
      </c>
    </row>
    <row r="13" customFormat="false" ht="15.75" hidden="false" customHeight="false" outlineLevel="0" collapsed="false">
      <c r="A13" s="11" t="n">
        <f aca="false">IFERROR(__xludf.dummyfunction("""COMPUTED_VALUE"""),205873)</f>
        <v>205873</v>
      </c>
      <c r="B13" s="11" t="str">
        <f aca="false">IFERROR(__xludf.dummyfunction("""COMPUTED_VALUE"""),"Готовальня BRAUBERG ""Student Oxford"" (210350)")</f>
        <v>Готовальня BRAUBERG "Student Oxford" (210350)</v>
      </c>
      <c r="C13" s="11" t="str">
        <f aca="false">IFERROR(__xludf.dummyfunction("""COMPUTED_VALUE"""),"В наличии 61")</f>
        <v>В наличии 61</v>
      </c>
      <c r="D13" s="11" t="n">
        <f aca="false">IFERROR(__xludf.dummyfunction("""COMPUTED_VALUE"""),488)</f>
        <v>488</v>
      </c>
      <c r="E13" s="11" t="str">
        <f aca="false">IFERROR(__xludf.dummyfunction("""COMPUTED_VALUE"""),"/gotovalnya-brauberg-student-oxford-210350-/")</f>
        <v>/gotovalnya-brauberg-student-oxford-210350-/</v>
      </c>
    </row>
    <row r="14" customFormat="false" ht="15.75" hidden="false" customHeight="false" outlineLevel="0" collapsed="false">
      <c r="A14" s="11" t="n">
        <f aca="false">IFERROR(__xludf.dummyfunction("""COMPUTED_VALUE"""),205881)</f>
        <v>205881</v>
      </c>
      <c r="B14" s="11" t="str">
        <f aca="false">IFERROR(__xludf.dummyfunction("""COMPUTED_VALUE"""),"Готовальня MAPED (Франция) ""Stop System"" (210362)")</f>
        <v>Готовальня MAPED (Франция) "Stop System" (210362)</v>
      </c>
      <c r="C14" s="11" t="str">
        <f aca="false">IFERROR(__xludf.dummyfunction("""COMPUTED_VALUE"""),"В наличии 400")</f>
        <v>В наличии 400</v>
      </c>
      <c r="D14" s="11" t="n">
        <f aca="false">IFERROR(__xludf.dummyfunction("""COMPUTED_VALUE"""),466)</f>
        <v>466</v>
      </c>
      <c r="E14" s="11" t="str">
        <f aca="false">IFERROR(__xludf.dummyfunction("""COMPUTED_VALUE"""),"/gotovalnya-maped-franciya-stop-system-210362-/")</f>
        <v>/gotovalnya-maped-franciya-stop-system-210362-/</v>
      </c>
    </row>
    <row r="15" customFormat="false" ht="15.75" hidden="false" customHeight="false" outlineLevel="0" collapsed="false">
      <c r="A15" s="11" t="n">
        <f aca="false">IFERROR(__xludf.dummyfunction("""COMPUTED_VALUE"""),205942)</f>
        <v>205942</v>
      </c>
      <c r="B15" s="11" t="str">
        <f aca="false">IFERROR(__xludf.dummyfunction("""COMPUTED_VALUE"""),"Готовальня профессиональная KOH-I-NOOR (210459)")</f>
        <v>Готовальня профессиональная KOH-I-NOOR (210459)</v>
      </c>
      <c r="C15" s="11" t="str">
        <f aca="false">IFERROR(__xludf.dummyfunction("""COMPUTED_VALUE"""),"В наличии 5")</f>
        <v>В наличии 5</v>
      </c>
      <c r="D15" s="11" t="n">
        <f aca="false">IFERROR(__xludf.dummyfunction("""COMPUTED_VALUE"""),8393)</f>
        <v>8393</v>
      </c>
      <c r="E15" s="11" t="str">
        <f aca="false">IFERROR(__xludf.dummyfunction("""COMPUTED_VALUE"""),"/gotovalnya-professionalnaya-koh-i-noor-210459-/")</f>
        <v>/gotovalnya-professionalnaya-koh-i-noor-210459-/</v>
      </c>
    </row>
    <row r="16" customFormat="false" ht="15.75" hidden="false" customHeight="false" outlineLevel="0" collapsed="false">
      <c r="A16" s="11" t="n">
        <f aca="false">IFERROR(__xludf.dummyfunction("""COMPUTED_VALUE"""),205943)</f>
        <v>205943</v>
      </c>
      <c r="B16" s="11" t="str">
        <f aca="false">IFERROR(__xludf.dummyfunction("""COMPUTED_VALUE"""),"Готовальня профессиональная KOH-I-NOOR (210460)")</f>
        <v>Готовальня профессиональная KOH-I-NOOR (210460)</v>
      </c>
      <c r="C16" s="11" t="str">
        <f aca="false">IFERROR(__xludf.dummyfunction("""COMPUTED_VALUE"""),"В наличии 19")</f>
        <v>В наличии 19</v>
      </c>
      <c r="D16" s="11" t="n">
        <f aca="false">IFERROR(__xludf.dummyfunction("""COMPUTED_VALUE"""),2248)</f>
        <v>2248</v>
      </c>
      <c r="E16" s="11" t="str">
        <f aca="false">IFERROR(__xludf.dummyfunction("""COMPUTED_VALUE"""),"/gotovalnya-professionalnaya-koh-i-noor-210460-/")</f>
        <v>/gotovalnya-professionalnaya-koh-i-noor-210460-/</v>
      </c>
    </row>
    <row r="17" customFormat="false" ht="15.75" hidden="false" customHeight="false" outlineLevel="0" collapsed="false">
      <c r="A17" s="11" t="n">
        <f aca="false">IFERROR(__xludf.dummyfunction("""COMPUTED_VALUE"""),203923)</f>
        <v>203923</v>
      </c>
      <c r="B17" s="11" t="str">
        <f aca="false">IFERROR(__xludf.dummyfunction("""COMPUTED_VALUE"""),"Грифели для цангового карандаша KOH-I-NOOR (180332)")</f>
        <v>Грифели для цангового карандаша KOH-I-NOOR (180332)</v>
      </c>
      <c r="C17" s="11" t="str">
        <f aca="false">IFERROR(__xludf.dummyfunction("""COMPUTED_VALUE"""),"В наличии 171")</f>
        <v>В наличии 171</v>
      </c>
      <c r="D17" s="11" t="n">
        <f aca="false">IFERROR(__xludf.dummyfunction("""COMPUTED_VALUE"""),206)</f>
        <v>206</v>
      </c>
      <c r="E17" s="11" t="str">
        <f aca="false">IFERROR(__xludf.dummyfunction("""COMPUTED_VALUE"""),"/grifeli-dlya-cangovogo-karandasha-koh-i-noor-180332-/")</f>
        <v>/grifeli-dlya-cangovogo-karandasha-koh-i-noor-180332-/</v>
      </c>
    </row>
    <row r="18" customFormat="false" ht="15.75" hidden="false" customHeight="false" outlineLevel="0" collapsed="false">
      <c r="A18" s="11" t="n">
        <f aca="false">IFERROR(__xludf.dummyfunction("""COMPUTED_VALUE"""),206001)</f>
        <v>206001</v>
      </c>
      <c r="B18" s="11" t="str">
        <f aca="false">IFERROR(__xludf.dummyfunction("""COMPUTED_VALUE"""),"Грифель для цангового карандаша 130 мм STAEDTLER (Германия) ""Mars"" (210541)")</f>
        <v>Грифель для цангового карандаша 130 мм STAEDTLER (Германия) "Mars" (210541)</v>
      </c>
      <c r="C18" s="11" t="str">
        <f aca="false">IFERROR(__xludf.dummyfunction("""COMPUTED_VALUE"""),"В наличии 65")</f>
        <v>В наличии 65</v>
      </c>
      <c r="D18" s="11" t="n">
        <f aca="false">IFERROR(__xludf.dummyfunction("""COMPUTED_VALUE"""),185)</f>
        <v>185</v>
      </c>
      <c r="E18" s="11" t="str">
        <f aca="false">IFERROR(__xludf.dummyfunction("""COMPUTED_VALUE"""),"/grifel-dlya-cangovogo-karandasha-130-mm-staedtler-germaniya-mars-210541-/")</f>
        <v>/grifel-dlya-cangovogo-karandasha-130-mm-staedtler-germaniya-mars-210541-/</v>
      </c>
    </row>
    <row r="19" customFormat="false" ht="15.75" hidden="false" customHeight="false" outlineLevel="0" collapsed="false">
      <c r="A19" s="11" t="n">
        <f aca="false">IFERROR(__xludf.dummyfunction("""COMPUTED_VALUE"""),205996)</f>
        <v>205996</v>
      </c>
      <c r="B19" s="11" t="str">
        <f aca="false">IFERROR(__xludf.dummyfunction("""COMPUTED_VALUE"""),"Доска чертежная А3 (210536)")</f>
        <v>Доска чертежная А3 (210536)</v>
      </c>
      <c r="C19" s="11" t="str">
        <f aca="false">IFERROR(__xludf.dummyfunction("""COMPUTED_VALUE"""),"В наличии 2423")</f>
        <v>В наличии 2423</v>
      </c>
      <c r="D19" s="11" t="n">
        <f aca="false">IFERROR(__xludf.dummyfunction("""COMPUTED_VALUE"""),3370)</f>
        <v>3370</v>
      </c>
      <c r="E19" s="11" t="str">
        <f aca="false">IFERROR(__xludf.dummyfunction("""COMPUTED_VALUE"""),"/doska-chertezhnaya-a3-210536-/")</f>
        <v>/doska-chertezhnaya-a3-210536-/</v>
      </c>
    </row>
    <row r="20" customFormat="false" ht="15.75" hidden="false" customHeight="false" outlineLevel="0" collapsed="false">
      <c r="A20" s="11" t="n">
        <f aca="false">IFERROR(__xludf.dummyfunction("""COMPUTED_VALUE"""),205995)</f>
        <v>205995</v>
      </c>
      <c r="B20" s="11" t="str">
        <f aca="false">IFERROR(__xludf.dummyfunction("""COMPUTED_VALUE"""),"Доска чертежная А4 (210535)")</f>
        <v>Доска чертежная А4 (210535)</v>
      </c>
      <c r="C20" s="11" t="str">
        <f aca="false">IFERROR(__xludf.dummyfunction("""COMPUTED_VALUE"""),"В наличии 355")</f>
        <v>В наличии 355</v>
      </c>
      <c r="D20" s="11" t="n">
        <f aca="false">IFERROR(__xludf.dummyfunction("""COMPUTED_VALUE"""),2573)</f>
        <v>2573</v>
      </c>
      <c r="E20" s="11" t="str">
        <f aca="false">IFERROR(__xludf.dummyfunction("""COMPUTED_VALUE"""),"/doska-chertezhnaya-a4-210535-/")</f>
        <v>/doska-chertezhnaya-a4-210535-/</v>
      </c>
    </row>
    <row r="21" customFormat="false" ht="15.75" hidden="false" customHeight="false" outlineLevel="0" collapsed="false">
      <c r="A21" s="11" t="n">
        <f aca="false">IFERROR(__xludf.dummyfunction("""COMPUTED_VALUE"""),204542)</f>
        <v>204542</v>
      </c>
      <c r="B21" s="11" t="str">
        <f aca="false">IFERROR(__xludf.dummyfunction("""COMPUTED_VALUE"""),"Карандаш механический FABER-CASTELL ""TK-Fine Vario L"" (181491)")</f>
        <v>Карандаш механический FABER-CASTELL "TK-Fine Vario L" (181491)</v>
      </c>
      <c r="C21" s="11" t="str">
        <f aca="false">IFERROR(__xludf.dummyfunction("""COMPUTED_VALUE"""),"В наличии 14")</f>
        <v>В наличии 14</v>
      </c>
      <c r="D21" s="11" t="n">
        <f aca="false">IFERROR(__xludf.dummyfunction("""COMPUTED_VALUE"""),1415)</f>
        <v>1415</v>
      </c>
      <c r="E21" s="11" t="str">
        <f aca="false">IFERROR(__xludf.dummyfunction("""COMPUTED_VALUE"""),"/karandash-mehanicheskij-faber-castell-tk-fine-vario-l-181491-/")</f>
        <v>/karandash-mehanicheskij-faber-castell-tk-fine-vario-l-181491-/</v>
      </c>
    </row>
    <row r="22" customFormat="false" ht="15.75" hidden="false" customHeight="false" outlineLevel="0" collapsed="false">
      <c r="A22" s="11" t="n">
        <f aca="false">IFERROR(__xludf.dummyfunction("""COMPUTED_VALUE"""),204369)</f>
        <v>204369</v>
      </c>
      <c r="B22" s="11" t="str">
        <f aca="false">IFERROR(__xludf.dummyfunction("""COMPUTED_VALUE"""),"Карандаш механический PARKER ""Jotter Essential CT"" (181265)")</f>
        <v>Карандаш механический PARKER "Jotter Essential CT" (181265)</v>
      </c>
      <c r="C22" s="11" t="str">
        <f aca="false">IFERROR(__xludf.dummyfunction("""COMPUTED_VALUE"""),"В наличии 127")</f>
        <v>В наличии 127</v>
      </c>
      <c r="D22" s="11" t="n">
        <f aca="false">IFERROR(__xludf.dummyfunction("""COMPUTED_VALUE"""),1857)</f>
        <v>1857</v>
      </c>
      <c r="E22" s="11" t="str">
        <f aca="false">IFERROR(__xludf.dummyfunction("""COMPUTED_VALUE"""),"/karandash-mehanicheskij-parker-jotter-essential-ct-181265-/")</f>
        <v>/karandash-mehanicheskij-parker-jotter-essential-ct-181265-/</v>
      </c>
    </row>
    <row r="23" customFormat="false" ht="15.75" hidden="false" customHeight="false" outlineLevel="0" collapsed="false">
      <c r="A23" s="11" t="n">
        <f aca="false">IFERROR(__xludf.dummyfunction("""COMPUTED_VALUE"""),269432)</f>
        <v>269432</v>
      </c>
      <c r="B23" s="11" t="str">
        <f aca="false">IFERROR(__xludf.dummyfunction("""COMPUTED_VALUE"""),"Карандаши акварельные ГАММА ""Лицей"", 18 цветов, заточенные, шестигранные, 
кисть, картонная упаковка, 221118_03 (181729)")</f>
        <v>Карандаши акварельные ГАММА "Лицей", 18 цветов, заточенные, шестигранные, 
кисть, картонная упаковка, 221118_03 (181729)</v>
      </c>
      <c r="C23" s="11" t="str">
        <f aca="false">IFERROR(__xludf.dummyfunction("""COMPUTED_VALUE"""),"В наличии 58")</f>
        <v>В наличии 58</v>
      </c>
      <c r="D23" s="11" t="n">
        <f aca="false">IFERROR(__xludf.dummyfunction("""COMPUTED_VALUE"""),336)</f>
        <v>336</v>
      </c>
      <c r="E23" s="11" t="str">
        <f aca="false">IFERROR(__xludf.dummyfunction("""COMPUTED_VALUE"""),"/karandashi-akvarelnye-gamma-licej-18-cvetov-zatochennye-shestigrannye-kist-kartonnaya-upakovka-221118_03-181729-/")</f>
        <v>/karandashi-akvarelnye-gamma-licej-18-cvetov-zatochennye-shestigrannye-kist-kartonnaya-upakovka-221118_03-181729-/</v>
      </c>
    </row>
    <row r="24" customFormat="false" ht="15.75" hidden="false" customHeight="false" outlineLevel="0" collapsed="false">
      <c r="A24" s="11" t="n">
        <f aca="false">IFERROR(__xludf.dummyfunction("""COMPUTED_VALUE"""),269433)</f>
        <v>269433</v>
      </c>
      <c r="B24" s="11" t="str">
        <f aca="false">IFERROR(__xludf.dummyfunction("""COMPUTED_VALUE"""),"Карандаши акварельные ГАММА ""Лицей"", 24 цвета, заточенные, шестигранные, 
кисть, картонная упаковка, 221118_04 (181730)")</f>
        <v>Карандаши акварельные ГАММА "Лицей", 24 цвета, заточенные, шестигранные, 
кисть, картонная упаковка, 221118_04 (181730)</v>
      </c>
      <c r="C24" s="11" t="str">
        <f aca="false">IFERROR(__xludf.dummyfunction("""COMPUTED_VALUE"""),"В наличии 22")</f>
        <v>В наличии 22</v>
      </c>
      <c r="D24" s="11" t="n">
        <f aca="false">IFERROR(__xludf.dummyfunction("""COMPUTED_VALUE"""),445)</f>
        <v>445</v>
      </c>
      <c r="E24" s="11" t="str">
        <f aca="false">IFERROR(__xludf.dummyfunction("""COMPUTED_VALUE"""),"/karandashi-akvarelnye-gamma-licej-24-cveta-zatochennye-shestigrannye-kist-kartonnaya-upakovka-221118_04-181730-/")</f>
        <v>/karandashi-akvarelnye-gamma-licej-24-cveta-zatochennye-shestigrannye-kist-kartonnaya-upakovka-221118_04-181730-/</v>
      </c>
    </row>
    <row r="25" customFormat="false" ht="15.75" hidden="false" customHeight="false" outlineLevel="0" collapsed="false">
      <c r="A25" s="11" t="n">
        <f aca="false">IFERROR(__xludf.dummyfunction("""COMPUTED_VALUE"""),269434)</f>
        <v>269434</v>
      </c>
      <c r="B25" s="11" t="str">
        <f aca="false">IFERROR(__xludf.dummyfunction("""COMPUTED_VALUE"""),"Карандаши акварельные ГАММА ""Лицей"", 36 цветов, заточенные, шестигранные, 
кисть, картонная упаковка, 221118_05 (181731)")</f>
        <v>Карандаши акварельные ГАММА "Лицей", 36 цветов, заточенные, шестигранные, 
кисть, картонная упаковка, 221118_05 (181731)</v>
      </c>
      <c r="C25" s="11" t="str">
        <f aca="false">IFERROR(__xludf.dummyfunction("""COMPUTED_VALUE"""),"В наличии 44")</f>
        <v>В наличии 44</v>
      </c>
      <c r="D25" s="11" t="n">
        <f aca="false">IFERROR(__xludf.dummyfunction("""COMPUTED_VALUE"""),654)</f>
        <v>654</v>
      </c>
      <c r="E25" s="11" t="str">
        <f aca="false">IFERROR(__xludf.dummyfunction("""COMPUTED_VALUE"""),"/karandashi-akvarelnye-gamma-licej-36-cvetov-zatochennye-shestigrannye-kist-kartonnaya-upakovka-221118_05-181731-/")</f>
        <v>/karandashi-akvarelnye-gamma-licej-36-cvetov-zatochennye-shestigrannye-kist-kartonnaya-upakovka-221118_05-181731-/</v>
      </c>
    </row>
    <row r="26" customFormat="false" ht="15.75" hidden="false" customHeight="false" outlineLevel="0" collapsed="false">
      <c r="A26" s="11" t="n">
        <f aca="false">IFERROR(__xludf.dummyfunction("""COMPUTED_VALUE"""),204578)</f>
        <v>204578</v>
      </c>
      <c r="B26" s="11" t="str">
        <f aca="false">IFERROR(__xludf.dummyfunction("""COMPUTED_VALUE"""),"Карандаши двухцветные MAPED (Франция) ""Color Pep's"" 18 шт. (181594)")</f>
        <v>Карандаши двухцветные MAPED (Франция) "Color Pep's" 18 шт. (181594)</v>
      </c>
      <c r="C26" s="11" t="str">
        <f aca="false">IFERROR(__xludf.dummyfunction("""COMPUTED_VALUE"""),"В наличии 156")</f>
        <v>В наличии 156</v>
      </c>
      <c r="D26" s="11" t="n">
        <f aca="false">IFERROR(__xludf.dummyfunction("""COMPUTED_VALUE"""),516)</f>
        <v>516</v>
      </c>
      <c r="E26" s="11" t="str">
        <f aca="false">IFERROR(__xludf.dummyfunction("""COMPUTED_VALUE"""),"/karandashi-dvuhcvetnye-maped-franciya-color-pep-s-18-sht-181594-/")</f>
        <v>/karandashi-dvuhcvetnye-maped-franciya-color-pep-s-18-sht-181594-/</v>
      </c>
    </row>
    <row r="27" customFormat="false" ht="15.75" hidden="false" customHeight="false" outlineLevel="0" collapsed="false">
      <c r="A27" s="11" t="n">
        <f aca="false">IFERROR(__xludf.dummyfunction("""COMPUTED_VALUE"""),204579)</f>
        <v>204579</v>
      </c>
      <c r="B27" s="11" t="str">
        <f aca="false">IFERROR(__xludf.dummyfunction("""COMPUTED_VALUE"""),"Карандаши двухцветные MAPED (Франция) ""Color Pep's"" 24 шт. (181595)")</f>
        <v>Карандаши двухцветные MAPED (Франция) "Color Pep's" 24 шт. (181595)</v>
      </c>
      <c r="C27" s="11" t="str">
        <f aca="false">IFERROR(__xludf.dummyfunction("""COMPUTED_VALUE"""),"В наличии 61")</f>
        <v>В наличии 61</v>
      </c>
      <c r="D27" s="11" t="n">
        <f aca="false">IFERROR(__xludf.dummyfunction("""COMPUTED_VALUE"""),490)</f>
        <v>490</v>
      </c>
      <c r="E27" s="11" t="str">
        <f aca="false">IFERROR(__xludf.dummyfunction("""COMPUTED_VALUE"""),"/karandashi-dvuhcvetnye-maped-franciya-color-pep-s-24-sht-181595-/")</f>
        <v>/karandashi-dvuhcvetnye-maped-franciya-color-pep-s-24-sht-181595-/</v>
      </c>
    </row>
    <row r="28" customFormat="false" ht="15.75" hidden="false" customHeight="false" outlineLevel="0" collapsed="false">
      <c r="A28" s="11" t="n">
        <f aca="false">IFERROR(__xludf.dummyfunction("""COMPUTED_VALUE"""),204183)</f>
        <v>204183</v>
      </c>
      <c r="B28" s="11" t="str">
        <f aca="false">IFERROR(__xludf.dummyfunction("""COMPUTED_VALUE"""),"Карандаши с многоцветным грифелем KOH-I-NOOR (181009)")</f>
        <v>Карандаши с многоцветным грифелем KOH-I-NOOR (181009)</v>
      </c>
      <c r="C28" s="11" t="str">
        <f aca="false">IFERROR(__xludf.dummyfunction("""COMPUTED_VALUE"""),"В наличии 291")</f>
        <v>В наличии 291</v>
      </c>
      <c r="D28" s="11" t="n">
        <f aca="false">IFERROR(__xludf.dummyfunction("""COMPUTED_VALUE"""),1712)</f>
        <v>1712</v>
      </c>
      <c r="E28" s="11" t="str">
        <f aca="false">IFERROR(__xludf.dummyfunction("""COMPUTED_VALUE"""),"/karandashi-s-mnogocvetnym-grifelem-koh-i-noor-181009-/")</f>
        <v>/karandashi-s-mnogocvetnym-grifelem-koh-i-noor-181009-/</v>
      </c>
    </row>
    <row r="29" customFormat="false" ht="15.75" hidden="false" customHeight="false" outlineLevel="0" collapsed="false">
      <c r="A29" s="11" t="n">
        <f aca="false">IFERROR(__xludf.dummyfunction("""COMPUTED_VALUE"""),320660)</f>
        <v>320660</v>
      </c>
      <c r="B29" s="11" t="str">
        <f aca="false">IFERROR(__xludf.dummyfunction("""COMPUTED_VALUE"""),"Карандаши с многоцветным грифелем МЯГКИЕ ЮНЛАНДИЯ ""MAGIC"", НАБОР 6 штук (24 
цвета), утолщенные, 181791 (181791)")</f>
        <v>Карандаши с многоцветным грифелем МЯГКИЕ ЮНЛАНДИЯ "MAGIC", НАБОР 6 штук (24 
цвета), утолщенные, 181791 (181791)</v>
      </c>
      <c r="C29" s="11" t="str">
        <f aca="false">IFERROR(__xludf.dummyfunction("""COMPUTED_VALUE"""),"В наличии 10309")</f>
        <v>В наличии 10309</v>
      </c>
      <c r="D29" s="11" t="n">
        <f aca="false">IFERROR(__xludf.dummyfunction("""COMPUTED_VALUE"""),148)</f>
        <v>148</v>
      </c>
      <c r="E29" s="11" t="str">
        <f aca="false">IFERROR(__xludf.dummyfunction("""COMPUTED_VALUE"""),"/karandashi-s-mnogocvetnym-grifelem-myagkie-yunlandiya-magic-nabor-6-shtuk-24-cveta-utolshennye-181791-181791-/")</f>
        <v>/karandashi-s-mnogocvetnym-grifelem-myagkie-yunlandiya-magic-nabor-6-shtuk-24-cveta-utolshennye-181791-181791-/</v>
      </c>
    </row>
    <row r="30" customFormat="false" ht="15.75" hidden="false" customHeight="false" outlineLevel="0" collapsed="false">
      <c r="A30" s="11" t="n">
        <f aca="false">IFERROR(__xludf.dummyfunction("""COMPUTED_VALUE"""),301678)</f>
        <v>301678</v>
      </c>
      <c r="B30" s="11" t="str">
        <f aca="false">IFERROR(__xludf.dummyfunction("""COMPUTED_VALUE"""),"Карандаши художественные чернографитные 4H-8B, НАБОР 12 штук, BRAUBERG ART 
""CLASSIC"", 181542 (181542)")</f>
        <v>Карандаши художественные чернографитные 4H-8B, НАБОР 12 штук, BRAUBERG ART 
"CLASSIC", 181542 (181542)</v>
      </c>
      <c r="C30" s="11" t="str">
        <f aca="false">IFERROR(__xludf.dummyfunction("""COMPUTED_VALUE"""),"В наличии 56773")</f>
        <v>В наличии 56773</v>
      </c>
      <c r="D30" s="11" t="n">
        <f aca="false">IFERROR(__xludf.dummyfunction("""COMPUTED_VALUE"""),168)</f>
        <v>168</v>
      </c>
      <c r="E30" s="11" t="str">
        <f aca="false">IFERROR(__xludf.dummyfunction("""COMPUTED_VALUE"""),"/karandashi-hudozhestvennye-chernografitnye-4h-8b-nabor-12-shtuk-brauberg-art-classic-181542-181542-/")</f>
        <v>/karandashi-hudozhestvennye-chernografitnye-4h-8b-nabor-12-shtuk-brauberg-art-classic-181542-181542-/</v>
      </c>
    </row>
    <row r="31" customFormat="false" ht="15.75" hidden="false" customHeight="false" outlineLevel="0" collapsed="false">
      <c r="A31" s="11" t="n">
        <f aca="false">IFERROR(__xludf.dummyfunction("""COMPUTED_VALUE"""),287064)</f>
        <v>287064</v>
      </c>
      <c r="B31" s="11" t="str">
        <f aca="false">IFERROR(__xludf.dummyfunction("""COMPUTED_VALUE"""),"Карандаши цветные 12 ЦВЕТОВ BIC ""Color UP"", пластиковые, трехгранные, 
9505271")</f>
        <v>Карандаши цветные 12 ЦВЕТОВ BIC "Color UP", пластиковые, трехгранные, 
9505271</v>
      </c>
      <c r="C31" s="11" t="str">
        <f aca="false">IFERROR(__xludf.dummyfunction("""COMPUTED_VALUE"""),"В наличии 51")</f>
        <v>В наличии 51</v>
      </c>
      <c r="D31" s="11" t="n">
        <f aca="false">IFERROR(__xludf.dummyfunction("""COMPUTED_VALUE"""),407)</f>
        <v>407</v>
      </c>
      <c r="E31" s="11" t="str">
        <f aca="false">IFERROR(__xludf.dummyfunction("""COMPUTED_VALUE"""),"/karandashi-cvetnye-12-cvetov-bic-color-up-plastikovye-trehgrannye-9505271/")</f>
        <v>/karandashi-cvetnye-12-cvetov-bic-color-up-plastikovye-trehgrannye-9505271/</v>
      </c>
    </row>
    <row r="32" customFormat="false" ht="15.75" hidden="false" customHeight="false" outlineLevel="0" collapsed="false">
      <c r="A32" s="11" t="n">
        <f aca="false">IFERROR(__xludf.dummyfunction("""COMPUTED_VALUE"""),204256)</f>
        <v>204256</v>
      </c>
      <c r="B32" s="11" t="str">
        <f aca="false">IFERROR(__xludf.dummyfunction("""COMPUTED_VALUE"""),"Карандаши цветные BIC ""Kids ECOlutions Evolution"" (181124)")</f>
        <v>Карандаши цветные BIC "Kids ECOlutions Evolution" (181124)</v>
      </c>
      <c r="C32" s="11" t="str">
        <f aca="false">IFERROR(__xludf.dummyfunction("""COMPUTED_VALUE"""),"В наличии 10")</f>
        <v>В наличии 10</v>
      </c>
      <c r="D32" s="11" t="n">
        <f aca="false">IFERROR(__xludf.dummyfunction("""COMPUTED_VALUE"""),279)</f>
        <v>279</v>
      </c>
      <c r="E32" s="11" t="str">
        <f aca="false">IFERROR(__xludf.dummyfunction("""COMPUTED_VALUE"""),"/karandashi-cvetnye-bic-kids-ecolutions-evolution-181124-/")</f>
        <v>/karandashi-cvetnye-bic-kids-ecolutions-evolution-181124-/</v>
      </c>
    </row>
    <row r="33" customFormat="false" ht="15.75" hidden="false" customHeight="false" outlineLevel="0" collapsed="false">
      <c r="A33" s="11" t="n">
        <f aca="false">IFERROR(__xludf.dummyfunction("""COMPUTED_VALUE"""),203954)</f>
        <v>203954</v>
      </c>
      <c r="B33" s="11" t="str">
        <f aca="false">IFERROR(__xludf.dummyfunction("""COMPUTED_VALUE"""),"Карандаши цветные BIC ""Tropicolors"", 12 ЦВЕТОВ, пластиковые, европодвес, 
83256610 (180458)")</f>
        <v>Карандаши цветные BIC "Tropicolors", 12 ЦВЕТОВ, пластиковые, европодвес, 
83256610 (180458)</v>
      </c>
      <c r="C33" s="11" t="str">
        <f aca="false">IFERROR(__xludf.dummyfunction("""COMPUTED_VALUE"""),"В наличии 743")</f>
        <v>В наличии 743</v>
      </c>
      <c r="D33" s="11" t="n">
        <f aca="false">IFERROR(__xludf.dummyfunction("""COMPUTED_VALUE"""),266)</f>
        <v>266</v>
      </c>
      <c r="E33" s="11" t="str">
        <f aca="false">IFERROR(__xludf.dummyfunction("""COMPUTED_VALUE"""),"/karandashi-cvetnye-bic-tropicolors-12-cvetov-plastikovye-evropodves-83256610-180458-/")</f>
        <v>/karandashi-cvetnye-bic-tropicolors-12-cvetov-plastikovye-evropodves-83256610-180458-/</v>
      </c>
    </row>
    <row r="34" customFormat="false" ht="15.75" hidden="false" customHeight="false" outlineLevel="0" collapsed="false">
      <c r="A34" s="11" t="n">
        <f aca="false">IFERROR(__xludf.dummyfunction("""COMPUTED_VALUE"""),204002)</f>
        <v>204002</v>
      </c>
      <c r="B34" s="11" t="str">
        <f aca="false">IFERROR(__xludf.dummyfunction("""COMPUTED_VALUE"""),"Карандаши цветные BRAUBERG ""Artist line"" (180565)")</f>
        <v>Карандаши цветные BRAUBERG "Artist line" (180565)</v>
      </c>
      <c r="C34" s="11" t="str">
        <f aca="false">IFERROR(__xludf.dummyfunction("""COMPUTED_VALUE"""),"В наличии 3781")</f>
        <v>В наличии 3781</v>
      </c>
      <c r="D34" s="11" t="n">
        <f aca="false">IFERROR(__xludf.dummyfunction("""COMPUTED_VALUE"""),375)</f>
        <v>375</v>
      </c>
      <c r="E34" s="11" t="str">
        <f aca="false">IFERROR(__xludf.dummyfunction("""COMPUTED_VALUE"""),"/karandashi-cvetnye-brauberg-artist-line-180565-/")</f>
        <v>/karandashi-cvetnye-brauberg-artist-line-180565-/</v>
      </c>
    </row>
    <row r="35" customFormat="false" ht="15.75" hidden="false" customHeight="false" outlineLevel="0" collapsed="false">
      <c r="A35" s="11" t="n">
        <f aca="false">IFERROR(__xludf.dummyfunction("""COMPUTED_VALUE"""),204015)</f>
        <v>204015</v>
      </c>
      <c r="B35" s="11" t="str">
        <f aca="false">IFERROR(__xludf.dummyfunction("""COMPUTED_VALUE"""),"Карандаши цветные BRAUBERG ""Black Jack"" (180597)")</f>
        <v>Карандаши цветные BRAUBERG "Black Jack" (180597)</v>
      </c>
      <c r="C35" s="11" t="str">
        <f aca="false">IFERROR(__xludf.dummyfunction("""COMPUTED_VALUE"""),"В наличии 5512")</f>
        <v>В наличии 5512</v>
      </c>
      <c r="D35" s="11" t="n">
        <f aca="false">IFERROR(__xludf.dummyfunction("""COMPUTED_VALUE"""),458)</f>
        <v>458</v>
      </c>
      <c r="E35" s="11" t="str">
        <f aca="false">IFERROR(__xludf.dummyfunction("""COMPUTED_VALUE"""),"/karandashi-cvetnye-brauberg-black-jack-180597-/")</f>
        <v>/karandashi-cvetnye-brauberg-black-jack-180597-/</v>
      </c>
    </row>
    <row r="36" customFormat="false" ht="15.75" hidden="false" customHeight="false" outlineLevel="0" collapsed="false">
      <c r="A36" s="11" t="n">
        <f aca="false">IFERROR(__xludf.dummyfunction("""COMPUTED_VALUE"""),204097)</f>
        <v>204097</v>
      </c>
      <c r="B36" s="11" t="str">
        <f aca="false">IFERROR(__xludf.dummyfunction("""COMPUTED_VALUE"""),"Карандаши цветные BRAUBERG ""Black Jack"", 12 цв., трехгранные, черное 
дерево, заточенные, картонная упаковка (180834)")</f>
        <v>Карандаши цветные BRAUBERG "Black Jack", 12 цв., трехгранные, черное 
дерево, заточенные, картонная упаковка (180834)</v>
      </c>
      <c r="C36" s="11" t="str">
        <f aca="false">IFERROR(__xludf.dummyfunction("""COMPUTED_VALUE"""),"В наличии 420")</f>
        <v>В наличии 420</v>
      </c>
      <c r="D36" s="11" t="n">
        <f aca="false">IFERROR(__xludf.dummyfunction("""COMPUTED_VALUE"""),290)</f>
        <v>290</v>
      </c>
      <c r="E36" s="11" t="str">
        <f aca="false">IFERROR(__xludf.dummyfunction("""COMPUTED_VALUE"""),"/karandashi-cvetnye-brauberg-black-jack-12-cv-trehgrannye-chernoe-derevo-zatochennye-kartonnaya-upakovka-180834-/")</f>
        <v>/karandashi-cvetnye-brauberg-black-jack-12-cv-trehgrannye-chernoe-derevo-zatochennye-kartonnaya-upakovka-180834-/</v>
      </c>
    </row>
    <row r="37" customFormat="false" ht="15.75" hidden="false" customHeight="false" outlineLevel="0" collapsed="false">
      <c r="A37" s="11" t="n">
        <f aca="false">IFERROR(__xludf.dummyfunction("""COMPUTED_VALUE"""),204000)</f>
        <v>204000</v>
      </c>
      <c r="B37" s="11" t="str">
        <f aca="false">IFERROR(__xludf.dummyfunction("""COMPUTED_VALUE"""),"Карандаши цветные BRAUBERG ""InstaRacing"" (180559)")</f>
        <v>Карандаши цветные BRAUBERG "InstaRacing" (180559)</v>
      </c>
      <c r="C37" s="11" t="str">
        <f aca="false">IFERROR(__xludf.dummyfunction("""COMPUTED_VALUE"""),"В наличии 55")</f>
        <v>В наличии 55</v>
      </c>
      <c r="D37" s="11" t="n">
        <f aca="false">IFERROR(__xludf.dummyfunction("""COMPUTED_VALUE"""),214)</f>
        <v>214</v>
      </c>
      <c r="E37" s="11" t="str">
        <f aca="false">IFERROR(__xludf.dummyfunction("""COMPUTED_VALUE"""),"/karandashi-cvetnye-brauberg-instaracing-180559-/")</f>
        <v>/karandashi-cvetnye-brauberg-instaracing-180559-/</v>
      </c>
    </row>
    <row r="38" customFormat="false" ht="15.75" hidden="false" customHeight="false" outlineLevel="0" collapsed="false">
      <c r="A38" s="11" t="n">
        <f aca="false">IFERROR(__xludf.dummyfunction("IMPORTXML(getIdItems(""https://www.lustrof.ru/category/ofis/kanctovary/pismennye-i-chertezhnye-prinadlezhnosti/?page="",2),""//span[@class='products__item-info-code-v']"")"),203990)</f>
        <v>203990</v>
      </c>
      <c r="B38" s="11" t="str">
        <f aca="false">IFERROR(__xludf.dummyfunction("IMPORTXML(getIdItems(""https://www.lustrof.ru/category/ofis/kanctovary/pismennye-i-chertezhnye-prinadlezhnosti/?page="",2),""//span[@class='products__item-info-name']"")"),"Карандаши цветные BRAUBERG ""Rose Angel"" (180544)")</f>
        <v>Карандаши цветные BRAUBERG "Rose Angel" (180544)</v>
      </c>
      <c r="C38" s="12" t="str">
        <f aca="false">IFERROR(__xludf.dummyfunction("IMPORTXML(getIdItems(""https://www.lustrof.ru/category/ofis/kanctovary/pismennye-i-chertezhnye-prinadlezhnosti/?page="",2),""//span[@class='products__available-in-stock']"")"),"В наличии 1042")</f>
        <v>В наличии 1042</v>
      </c>
      <c r="D38" s="12" t="n">
        <f aca="false">IFERROR(__xludf.dummyfunction("IMPORTXML(getIdItems(""https://www.lustrof.ru/category/ofis/kanctovary/pismennye-i-chertezhnye-prinadlezhnosti/?page="",2),""//span[@class='products__price-new']/text()"")"),136)</f>
        <v>136</v>
      </c>
      <c r="E38" s="13" t="str">
        <f aca="false">IFERROR(__xludf.dummyfunction("IMPORTXML(getIdItems(""https://www.lustrof.ru/category/ofis/kanctovary/pismennye-i-chertezhnye-prinadlezhnosti/?page="",2),""//div[@class='products__item']/a/@href"")"),"/karandashi-cvetnye-brauberg-rose-angel-180544-/")</f>
        <v>/karandashi-cvetnye-brauberg-rose-angel-180544-/</v>
      </c>
    </row>
    <row r="39" customFormat="false" ht="15.75" hidden="false" customHeight="false" outlineLevel="0" collapsed="false">
      <c r="A39" s="11" t="n">
        <f aca="false">IFERROR(__xludf.dummyfunction("""COMPUTED_VALUE"""),203989)</f>
        <v>203989</v>
      </c>
      <c r="B39" s="11" t="str">
        <f aca="false">IFERROR(__xludf.dummyfunction("""COMPUTED_VALUE"""),"Карандаши цветные BRAUBERG ""Star Patrol"" (180543)")</f>
        <v>Карандаши цветные BRAUBERG "Star Patrol" (180543)</v>
      </c>
      <c r="C39" s="11" t="str">
        <f aca="false">IFERROR(__xludf.dummyfunction("""COMPUTED_VALUE"""),"В наличии 877")</f>
        <v>В наличии 877</v>
      </c>
      <c r="D39" s="11" t="n">
        <f aca="false">IFERROR(__xludf.dummyfunction("""COMPUTED_VALUE"""),136)</f>
        <v>136</v>
      </c>
      <c r="E39" s="11" t="str">
        <f aca="false">IFERROR(__xludf.dummyfunction("""COMPUTED_VALUE"""),"/karandashi-cvetnye-brauberg-star-patrol-180543-/")</f>
        <v>/karandashi-cvetnye-brauberg-star-patrol-180543-/</v>
      </c>
    </row>
    <row r="40" customFormat="false" ht="15.75" hidden="false" customHeight="false" outlineLevel="0" collapsed="false">
      <c r="A40" s="11" t="n">
        <f aca="false">IFERROR(__xludf.dummyfunction("""COMPUTED_VALUE"""),203999)</f>
        <v>203999</v>
      </c>
      <c r="B40" s="11" t="str">
        <f aca="false">IFERROR(__xludf.dummyfunction("""COMPUTED_VALUE"""),"Карандаши цветные BRAUBERG ""Star Patrol"" (180558)")</f>
        <v>Карандаши цветные BRAUBERG "Star Patrol" (180558)</v>
      </c>
      <c r="C40" s="11" t="str">
        <f aca="false">IFERROR(__xludf.dummyfunction("""COMPUTED_VALUE"""),"В наличии 390")</f>
        <v>В наличии 390</v>
      </c>
      <c r="D40" s="11" t="n">
        <f aca="false">IFERROR(__xludf.dummyfunction("""COMPUTED_VALUE"""),128)</f>
        <v>128</v>
      </c>
      <c r="E40" s="11" t="str">
        <f aca="false">IFERROR(__xludf.dummyfunction("""COMPUTED_VALUE"""),"/karandashi-cvetnye-brauberg-star-patrol-180558-/")</f>
        <v>/karandashi-cvetnye-brauberg-star-patrol-180558-/</v>
      </c>
    </row>
    <row r="41" customFormat="false" ht="15.75" hidden="false" customHeight="false" outlineLevel="0" collapsed="false">
      <c r="A41" s="11" t="n">
        <f aca="false">IFERROR(__xludf.dummyfunction("""COMPUTED_VALUE"""),269073)</f>
        <v>269073</v>
      </c>
      <c r="B41" s="11" t="str">
        <f aca="false">IFERROR(__xludf.dummyfunction("""COMPUTED_VALUE"""),"Карандаши цветные BRAUBERG ""БАБОЧКИ"", 24 цвета, трехгранные заточенные, 
корпус с полосками (181367)")</f>
        <v>Карандаши цветные BRAUBERG "БАБОЧКИ", 24 цвета, трехгранные заточенные, 
корпус с полосками (181367)</v>
      </c>
      <c r="C41" s="11" t="str">
        <f aca="false">IFERROR(__xludf.dummyfunction("""COMPUTED_VALUE"""),"В наличии 1289")</f>
        <v>В наличии 1289</v>
      </c>
      <c r="D41" s="11" t="n">
        <f aca="false">IFERROR(__xludf.dummyfunction("""COMPUTED_VALUE"""),264)</f>
        <v>264</v>
      </c>
      <c r="E41" s="11" t="str">
        <f aca="false">IFERROR(__xludf.dummyfunction("""COMPUTED_VALUE"""),"/karandashi-cvetnye-brauberg-babochki-24-cveta-trehgrannye-zatochennye-korpus-s-poloskami-181367-/")</f>
        <v>/karandashi-cvetnye-brauberg-babochki-24-cveta-trehgrannye-zatochennye-korpus-s-poloskami-181367-/</v>
      </c>
    </row>
    <row r="42" customFormat="false" ht="15.75" hidden="false" customHeight="false" outlineLevel="0" collapsed="false">
      <c r="A42" s="11" t="n">
        <f aca="false">IFERROR(__xludf.dummyfunction("""COMPUTED_VALUE"""),204001)</f>
        <v>204001</v>
      </c>
      <c r="B42" s="11" t="str">
        <f aca="false">IFERROR(__xludf.dummyfunction("""COMPUTED_VALUE"""),"Карандаши цветные BRAUBERG ""Морские легенды"" (180561)")</f>
        <v>Карандаши цветные BRAUBERG "Морские легенды" (180561)</v>
      </c>
      <c r="C42" s="11" t="str">
        <f aca="false">IFERROR(__xludf.dummyfunction("""COMPUTED_VALUE"""),"В наличии 660")</f>
        <v>В наличии 660</v>
      </c>
      <c r="D42" s="11" t="n">
        <f aca="false">IFERROR(__xludf.dummyfunction("""COMPUTED_VALUE"""),214)</f>
        <v>214</v>
      </c>
      <c r="E42" s="11" t="str">
        <f aca="false">IFERROR(__xludf.dummyfunction("""COMPUTED_VALUE"""),"/karandashi-cvetnye-brauberg-morskie-legendy-180561-/")</f>
        <v>/karandashi-cvetnye-brauberg-morskie-legendy-180561-/</v>
      </c>
    </row>
    <row r="43" customFormat="false" ht="15.75" hidden="false" customHeight="false" outlineLevel="0" collapsed="false">
      <c r="A43" s="11" t="n">
        <f aca="false">IFERROR(__xludf.dummyfunction("""COMPUTED_VALUE"""),204444)</f>
        <v>204444</v>
      </c>
      <c r="B43" s="11" t="str">
        <f aca="false">IFERROR(__xludf.dummyfunction("""COMPUTED_VALUE"""),"Карандаши цветные BRAUBERG ""ЦВЕТЫ"" (181368)")</f>
        <v>Карандаши цветные BRAUBERG "ЦВЕТЫ" (181368)</v>
      </c>
      <c r="C43" s="11" t="str">
        <f aca="false">IFERROR(__xludf.dummyfunction("""COMPUTED_VALUE"""),"В наличии 273")</f>
        <v>В наличии 273</v>
      </c>
      <c r="D43" s="11" t="n">
        <f aca="false">IFERROR(__xludf.dummyfunction("""COMPUTED_VALUE"""),190)</f>
        <v>190</v>
      </c>
      <c r="E43" s="11" t="str">
        <f aca="false">IFERROR(__xludf.dummyfunction("""COMPUTED_VALUE"""),"/karandashi-cvetnye-brauberg-cvety-181368-/")</f>
        <v>/karandashi-cvetnye-brauberg-cvety-181368-/</v>
      </c>
    </row>
    <row r="44" customFormat="false" ht="15.75" hidden="false" customHeight="false" outlineLevel="0" collapsed="false">
      <c r="A44" s="11" t="n">
        <f aca="false">IFERROR(__xludf.dummyfunction("""COMPUTED_VALUE"""),402385)</f>
        <v>402385</v>
      </c>
      <c r="B44" s="11" t="str">
        <f aca="false">IFERROR(__xludf.dummyfunction("""COMPUTED_VALUE"""),"Карандаши цветные BRAUBERG NEON, 12 неоновых цветов, черное дерево, 
трёхгранные, 181852 (181852)")</f>
        <v>Карандаши цветные BRAUBERG NEON, 12 неоновых цветов, черное дерево, 
трёхгранные, 181852 (181852)</v>
      </c>
      <c r="C44" s="11" t="str">
        <f aca="false">IFERROR(__xludf.dummyfunction("""COMPUTED_VALUE"""),"В наличии 162")</f>
        <v>В наличии 162</v>
      </c>
      <c r="D44" s="11" t="n">
        <f aca="false">IFERROR(__xludf.dummyfunction("""COMPUTED_VALUE"""),139)</f>
        <v>139</v>
      </c>
      <c r="E44" s="11" t="str">
        <f aca="false">IFERROR(__xludf.dummyfunction("""COMPUTED_VALUE"""),"/karandashi-cvetnye-brauberg-neon-12-neonovyh-cvetov-chernoe-derevo-tryohgrannye-181852-181852-/")</f>
        <v>/karandashi-cvetnye-brauberg-neon-12-neonovyh-cvetov-chernoe-derevo-tryohgrannye-181852-181852-/</v>
      </c>
    </row>
    <row r="45" customFormat="false" ht="15.75" hidden="false" customHeight="false" outlineLevel="0" collapsed="false">
      <c r="A45" s="11" t="n">
        <f aca="false">IFERROR(__xludf.dummyfunction("""COMPUTED_VALUE"""),287369)</f>
        <v>287369</v>
      </c>
      <c r="B45" s="11" t="str">
        <f aca="false">IFERROR(__xludf.dummyfunction("""COMPUTED_VALUE"""),"Карандаши цветные BRAUBERG PREMIUM, 24 цвета, трехгранные, грифель мягкий 
3,3 мм, 181653")</f>
        <v>Карандаши цветные BRAUBERG PREMIUM, 24 цвета, трехгранные, грифель мягкий 
3,3 мм, 181653</v>
      </c>
      <c r="C45" s="11" t="str">
        <f aca="false">IFERROR(__xludf.dummyfunction("""COMPUTED_VALUE"""),"В наличии 6036")</f>
        <v>В наличии 6036</v>
      </c>
      <c r="D45" s="11" t="n">
        <f aca="false">IFERROR(__xludf.dummyfunction("""COMPUTED_VALUE"""),204)</f>
        <v>204</v>
      </c>
      <c r="E45" s="11" t="str">
        <f aca="false">IFERROR(__xludf.dummyfunction("""COMPUTED_VALUE"""),"/karandashi-cvetnye-brauberg-premium-24-cveta-trehgrannye-grifel-myagkij-3-3-mm-181653/")</f>
        <v>/karandashi-cvetnye-brauberg-premium-24-cveta-trehgrannye-grifel-myagkij-3-3-mm-181653/</v>
      </c>
    </row>
    <row r="46" customFormat="false" ht="15.75" hidden="false" customHeight="false" outlineLevel="0" collapsed="false">
      <c r="A46" s="11" t="n">
        <f aca="false">IFERROR(__xludf.dummyfunction("""COMPUTED_VALUE"""),287374)</f>
        <v>287374</v>
      </c>
      <c r="B46" s="11" t="str">
        <f aca="false">IFERROR(__xludf.dummyfunction("""COMPUTED_VALUE"""),"Карандаши цветные BRAUBERG PREMIUM, 24 цвета, шестигранные, грифель мягкий 
3,3 мм, 181658")</f>
        <v>Карандаши цветные BRAUBERG PREMIUM, 24 цвета, шестигранные, грифель мягкий 
3,3 мм, 181658</v>
      </c>
      <c r="C46" s="11" t="str">
        <f aca="false">IFERROR(__xludf.dummyfunction("""COMPUTED_VALUE"""),"В наличии 225")</f>
        <v>В наличии 225</v>
      </c>
      <c r="D46" s="11" t="n">
        <f aca="false">IFERROR(__xludf.dummyfunction("""COMPUTED_VALUE"""),204)</f>
        <v>204</v>
      </c>
      <c r="E46" s="11" t="str">
        <f aca="false">IFERROR(__xludf.dummyfunction("""COMPUTED_VALUE"""),"/karandashi-cvetnye-brauberg-premium-24-cveta-shestigrannye-grifel-myagkij-3-3-mm-181658/")</f>
        <v>/karandashi-cvetnye-brauberg-premium-24-cveta-shestigrannye-grifel-myagkij-3-3-mm-181658/</v>
      </c>
    </row>
    <row r="47" customFormat="false" ht="15.75" hidden="false" customHeight="false" outlineLevel="0" collapsed="false">
      <c r="A47" s="11" t="n">
        <f aca="false">IFERROR(__xludf.dummyfunction("""COMPUTED_VALUE"""),402388)</f>
        <v>402388</v>
      </c>
      <c r="B47" s="11" t="str">
        <f aca="false">IFERROR(__xludf.dummyfunction("""COMPUTED_VALUE"""),"Карандаши цветные BRAUBERG, 24 цвета, черное дерево, грифель мягкий 3,3 мм, 
181858 (181858)")</f>
        <v>Карандаши цветные BRAUBERG, 24 цвета, черное дерево, грифель мягкий 3,3 мм, 
181858 (181858)</v>
      </c>
      <c r="C47" s="11" t="str">
        <f aca="false">IFERROR(__xludf.dummyfunction("""COMPUTED_VALUE"""),"В наличии 2529")</f>
        <v>В наличии 2529</v>
      </c>
      <c r="D47" s="11" t="n">
        <f aca="false">IFERROR(__xludf.dummyfunction("""COMPUTED_VALUE"""),248)</f>
        <v>248</v>
      </c>
      <c r="E47" s="11" t="str">
        <f aca="false">IFERROR(__xludf.dummyfunction("""COMPUTED_VALUE"""),"/karandashi-cvetnye-brauberg-24-cveta-chernoe-derevo-grifel-myagkij-3-3-mm-181858-181858-/")</f>
        <v>/karandashi-cvetnye-brauberg-24-cveta-chernoe-derevo-grifel-myagkij-3-3-mm-181858-181858-/</v>
      </c>
    </row>
    <row r="48" customFormat="false" ht="15.75" hidden="false" customHeight="false" outlineLevel="0" collapsed="false">
      <c r="A48" s="11" t="n">
        <f aca="false">IFERROR(__xludf.dummyfunction("""COMPUTED_VALUE"""),319505)</f>
        <v>319505</v>
      </c>
      <c r="B48" s="11" t="str">
        <f aca="false">IFERROR(__xludf.dummyfunction("""COMPUTED_VALUE"""),"Карандаши цветные BRAUBERG, 60 цветов (Базовые, Металлик, Неон, Пастель, 
Телесные), 181792 (181792)")</f>
        <v>Карандаши цветные BRAUBERG, 60 цветов (Базовые, Металлик, Неон, Пастель, 
Телесные), 181792 (181792)</v>
      </c>
      <c r="C48" s="11" t="str">
        <f aca="false">IFERROR(__xludf.dummyfunction("""COMPUTED_VALUE"""),"В наличии 9907")</f>
        <v>В наличии 9907</v>
      </c>
      <c r="D48" s="11" t="n">
        <f aca="false">IFERROR(__xludf.dummyfunction("""COMPUTED_VALUE"""),866)</f>
        <v>866</v>
      </c>
      <c r="E48" s="11" t="str">
        <f aca="false">IFERROR(__xludf.dummyfunction("""COMPUTED_VALUE"""),"/karandashi-cvetnye-brauberg-60-cvetov-bazovye-metallik-neon-pastel-telesnye-181792-181792-/")</f>
        <v>/karandashi-cvetnye-brauberg-60-cvetov-bazovye-metallik-neon-pastel-telesnye-181792-181792-/</v>
      </c>
    </row>
    <row r="49" customFormat="false" ht="15.75" hidden="false" customHeight="false" outlineLevel="0" collapsed="false">
      <c r="A49" s="11" t="n">
        <f aca="false">IFERROR(__xludf.dummyfunction("""COMPUTED_VALUE"""),251022)</f>
        <v>251022</v>
      </c>
      <c r="B49" s="11" t="str">
        <f aca="false">IFERROR(__xludf.dummyfunction("""COMPUTED_VALUE"""),"Карандаши цветные CARIOCA, 24 цвета, шестигранные, заточенные, европодвес, 
40381")</f>
        <v>Карандаши цветные CARIOCA, 24 цвета, шестигранные, заточенные, европодвес, 
40381</v>
      </c>
      <c r="C49" s="11" t="str">
        <f aca="false">IFERROR(__xludf.dummyfunction("""COMPUTED_VALUE"""),"В наличии 393")</f>
        <v>В наличии 393</v>
      </c>
      <c r="D49" s="11" t="n">
        <f aca="false">IFERROR(__xludf.dummyfunction("""COMPUTED_VALUE"""),222)</f>
        <v>222</v>
      </c>
      <c r="E49" s="11" t="str">
        <f aca="false">IFERROR(__xludf.dummyfunction("""COMPUTED_VALUE"""),"/karandashi-cvetnye-carioca-24-cveta-shestigrannye-zatochennye-evropodves-40381/")</f>
        <v>/karandashi-cvetnye-carioca-24-cveta-shestigrannye-zatochennye-evropodves-40381/</v>
      </c>
    </row>
    <row r="50" customFormat="false" ht="15.75" hidden="false" customHeight="false" outlineLevel="0" collapsed="false">
      <c r="A50" s="11" t="n">
        <f aca="false">IFERROR(__xludf.dummyfunction("""COMPUTED_VALUE"""),204407)</f>
        <v>204407</v>
      </c>
      <c r="B50" s="11" t="str">
        <f aca="false">IFERROR(__xludf.dummyfunction("""COMPUTED_VALUE"""),"Карандаши цветные JOVI (Испания) 12 цветов (181330)")</f>
        <v>Карандаши цветные JOVI (Испания) 12 цветов (181330)</v>
      </c>
      <c r="C50" s="11" t="str">
        <f aca="false">IFERROR(__xludf.dummyfunction("""COMPUTED_VALUE"""),"В наличии 25")</f>
        <v>В наличии 25</v>
      </c>
      <c r="D50" s="11" t="n">
        <f aca="false">IFERROR(__xludf.dummyfunction("""COMPUTED_VALUE"""),236)</f>
        <v>236</v>
      </c>
      <c r="E50" s="11" t="str">
        <f aca="false">IFERROR(__xludf.dummyfunction("""COMPUTED_VALUE"""),"/karandashi-cvetnye-jovi-ispaniya-12-cvetov-181330-/")</f>
        <v>/karandashi-cvetnye-jovi-ispaniya-12-cvetov-181330-/</v>
      </c>
    </row>
    <row r="51" customFormat="false" ht="15.75" hidden="false" customHeight="false" outlineLevel="0" collapsed="false">
      <c r="A51" s="11" t="n">
        <f aca="false">IFERROR(__xludf.dummyfunction("""COMPUTED_VALUE"""),204408)</f>
        <v>204408</v>
      </c>
      <c r="B51" s="11" t="str">
        <f aca="false">IFERROR(__xludf.dummyfunction("""COMPUTED_VALUE"""),"Карандаши цветные JOVI (Испания) 12 цветов (181331)")</f>
        <v>Карандаши цветные JOVI (Испания) 12 цветов (181331)</v>
      </c>
      <c r="C51" s="11" t="str">
        <f aca="false">IFERROR(__xludf.dummyfunction("""COMPUTED_VALUE"""),"В наличии 2")</f>
        <v>В наличии 2</v>
      </c>
      <c r="D51" s="11" t="n">
        <f aca="false">IFERROR(__xludf.dummyfunction("""COMPUTED_VALUE"""),219)</f>
        <v>219</v>
      </c>
      <c r="E51" s="11" t="str">
        <f aca="false">IFERROR(__xludf.dummyfunction("""COMPUTED_VALUE"""),"/karandashi-cvetnye-jovi-ispaniya-12-cvetov-181331-/")</f>
        <v>/karandashi-cvetnye-jovi-ispaniya-12-cvetov-181331-/</v>
      </c>
    </row>
    <row r="52" customFormat="false" ht="15.75" hidden="false" customHeight="false" outlineLevel="0" collapsed="false">
      <c r="A52" s="11" t="n">
        <f aca="false">IFERROR(__xludf.dummyfunction("""COMPUTED_VALUE"""),203919)</f>
        <v>203919</v>
      </c>
      <c r="B52" s="11" t="str">
        <f aca="false">IFERROR(__xludf.dummyfunction("""COMPUTED_VALUE"""),"Карандаши цветные KOH-I-NOOR ""Animals"" (180317)")</f>
        <v>Карандаши цветные KOH-I-NOOR "Animals" (180317)</v>
      </c>
      <c r="C52" s="11" t="str">
        <f aca="false">IFERROR(__xludf.dummyfunction("""COMPUTED_VALUE"""),"В наличии 90")</f>
        <v>В наличии 90</v>
      </c>
      <c r="D52" s="11" t="n">
        <f aca="false">IFERROR(__xludf.dummyfunction("""COMPUTED_VALUE"""),385)</f>
        <v>385</v>
      </c>
      <c r="E52" s="11" t="str">
        <f aca="false">IFERROR(__xludf.dummyfunction("""COMPUTED_VALUE"""),"/karandashi-cvetnye-koh-i-noor-animals-180317-/")</f>
        <v>/karandashi-cvetnye-koh-i-noor-animals-180317-/</v>
      </c>
    </row>
    <row r="53" customFormat="false" ht="15.75" hidden="false" customHeight="false" outlineLevel="0" collapsed="false">
      <c r="A53" s="11" t="n">
        <f aca="false">IFERROR(__xludf.dummyfunction("""COMPUTED_VALUE"""),204189)</f>
        <v>204189</v>
      </c>
      <c r="B53" s="11" t="str">
        <f aca="false">IFERROR(__xludf.dummyfunction("""COMPUTED_VALUE"""),"Карандаши цветные KOH-I-NOOR ""Triocolor"" (181021)")</f>
        <v>Карандаши цветные KOH-I-NOOR "Triocolor" (181021)</v>
      </c>
      <c r="C53" s="11" t="str">
        <f aca="false">IFERROR(__xludf.dummyfunction("""COMPUTED_VALUE"""),"В наличии 618")</f>
        <v>В наличии 618</v>
      </c>
      <c r="D53" s="11" t="n">
        <f aca="false">IFERROR(__xludf.dummyfunction("""COMPUTED_VALUE"""),387)</f>
        <v>387</v>
      </c>
      <c r="E53" s="11" t="str">
        <f aca="false">IFERROR(__xludf.dummyfunction("""COMPUTED_VALUE"""),"/karandashi-cvetnye-koh-i-noor-triocolor-181021-/")</f>
        <v>/karandashi-cvetnye-koh-i-noor-triocolor-181021-/</v>
      </c>
    </row>
    <row r="54" customFormat="false" ht="15.75" hidden="false" customHeight="false" outlineLevel="0" collapsed="false">
      <c r="A54" s="11" t="n">
        <f aca="false">IFERROR(__xludf.dummyfunction("""COMPUTED_VALUE"""),204580)</f>
        <v>204580</v>
      </c>
      <c r="B54" s="11" t="str">
        <f aca="false">IFERROR(__xludf.dummyfunction("""COMPUTED_VALUE"""),"Карандаши цветные MAPED (Франция) ""Color Pep's Animals'"" (181596)")</f>
        <v>Карандаши цветные MAPED (Франция) "Color Pep's Animals'" (181596)</v>
      </c>
      <c r="C54" s="11" t="str">
        <f aca="false">IFERROR(__xludf.dummyfunction("""COMPUTED_VALUE"""),"В наличии 841")</f>
        <v>В наличии 841</v>
      </c>
      <c r="D54" s="11" t="n">
        <f aca="false">IFERROR(__xludf.dummyfunction("""COMPUTED_VALUE"""),236)</f>
        <v>236</v>
      </c>
      <c r="E54" s="11" t="str">
        <f aca="false">IFERROR(__xludf.dummyfunction("""COMPUTED_VALUE"""),"/karandashi-cvetnye-maped-franciya-color-pep-s-animals-181596-/")</f>
        <v>/karandashi-cvetnye-maped-franciya-color-pep-s-animals-181596-/</v>
      </c>
    </row>
    <row r="55" customFormat="false" ht="15.75" hidden="false" customHeight="false" outlineLevel="0" collapsed="false">
      <c r="A55" s="11" t="n">
        <f aca="false">IFERROR(__xludf.dummyfunction("""COMPUTED_VALUE"""),204581)</f>
        <v>204581</v>
      </c>
      <c r="B55" s="11" t="str">
        <f aca="false">IFERROR(__xludf.dummyfunction("""COMPUTED_VALUE"""),"Карандаши цветные MAPED (Франция) ""Color Pep's Animals'"" (181597)")</f>
        <v>Карандаши цветные MAPED (Франция) "Color Pep's Animals'" (181597)</v>
      </c>
      <c r="C55" s="11" t="str">
        <f aca="false">IFERROR(__xludf.dummyfunction("""COMPUTED_VALUE"""),"В наличии 342")</f>
        <v>В наличии 342</v>
      </c>
      <c r="D55" s="11" t="n">
        <f aca="false">IFERROR(__xludf.dummyfunction("""COMPUTED_VALUE"""),539)</f>
        <v>539</v>
      </c>
      <c r="E55" s="11" t="str">
        <f aca="false">IFERROR(__xludf.dummyfunction("""COMPUTED_VALUE"""),"/karandashi-cvetnye-maped-franciya-color-pep-s-animals-181597-/")</f>
        <v>/karandashi-cvetnye-maped-franciya-color-pep-s-animals-181597-/</v>
      </c>
    </row>
    <row r="56" customFormat="false" ht="15.75" hidden="false" customHeight="false" outlineLevel="0" collapsed="false">
      <c r="A56" s="11" t="n">
        <f aca="false">IFERROR(__xludf.dummyfunction("""COMPUTED_VALUE"""),204119)</f>
        <v>204119</v>
      </c>
      <c r="B56" s="11" t="str">
        <f aca="false">IFERROR(__xludf.dummyfunction("""COMPUTED_VALUE"""),"Карандаши цветные MAPED (Франция) ""Color Pep's"" (180881)")</f>
        <v>Карандаши цветные MAPED (Франция) "Color Pep's" (180881)</v>
      </c>
      <c r="C56" s="11" t="str">
        <f aca="false">IFERROR(__xludf.dummyfunction("""COMPUTED_VALUE"""),"В наличии 578")</f>
        <v>В наличии 578</v>
      </c>
      <c r="D56" s="11" t="n">
        <f aca="false">IFERROR(__xludf.dummyfunction("""COMPUTED_VALUE"""),361)</f>
        <v>361</v>
      </c>
      <c r="E56" s="11" t="str">
        <f aca="false">IFERROR(__xludf.dummyfunction("""COMPUTED_VALUE"""),"/karandashi-cvetnye-maped-franciya-color-pep-s-180881-/")</f>
        <v>/karandashi-cvetnye-maped-franciya-color-pep-s-180881-/</v>
      </c>
    </row>
    <row r="57" customFormat="false" ht="15.75" hidden="false" customHeight="false" outlineLevel="0" collapsed="false">
      <c r="A57" s="11" t="n">
        <f aca="false">IFERROR(__xludf.dummyfunction("""COMPUTED_VALUE"""),204120)</f>
        <v>204120</v>
      </c>
      <c r="B57" s="11" t="str">
        <f aca="false">IFERROR(__xludf.dummyfunction("""COMPUTED_VALUE"""),"Карандаши цветные MAPED (Франция) ""Color Pep's"" (180882)")</f>
        <v>Карандаши цветные MAPED (Франция) "Color Pep's" (180882)</v>
      </c>
      <c r="C57" s="11" t="str">
        <f aca="false">IFERROR(__xludf.dummyfunction("""COMPUTED_VALUE"""),"В наличии 351")</f>
        <v>В наличии 351</v>
      </c>
      <c r="D57" s="11" t="n">
        <f aca="false">IFERROR(__xludf.dummyfunction("""COMPUTED_VALUE"""),309)</f>
        <v>309</v>
      </c>
      <c r="E57" s="11" t="str">
        <f aca="false">IFERROR(__xludf.dummyfunction("""COMPUTED_VALUE"""),"/karandashi-cvetnye-maped-franciya-color-pep-s-180882-/")</f>
        <v>/karandashi-cvetnye-maped-franciya-color-pep-s-180882-/</v>
      </c>
    </row>
    <row r="58" customFormat="false" ht="15.75" hidden="false" customHeight="false" outlineLevel="0" collapsed="false">
      <c r="A58" s="11" t="n">
        <f aca="false">IFERROR(__xludf.dummyfunction("""COMPUTED_VALUE"""),204118)</f>
        <v>204118</v>
      </c>
      <c r="B58" s="11" t="str">
        <f aca="false">IFERROR(__xludf.dummyfunction("""COMPUTED_VALUE"""),"Карандаши цветные MAPED (Франция) ""Color'Peps Star"", 12 цветов, 
трехгранные, заточенные, европодвес (180880)")</f>
        <v>Карандаши цветные MAPED (Франция) "Color'Peps Star", 12 цветов, 
трехгранные, заточенные, европодвес (180880)</v>
      </c>
      <c r="C58" s="11" t="str">
        <f aca="false">IFERROR(__xludf.dummyfunction("""COMPUTED_VALUE"""),"В наличии 2085")</f>
        <v>В наличии 2085</v>
      </c>
      <c r="D58" s="11" t="n">
        <f aca="false">IFERROR(__xludf.dummyfunction("""COMPUTED_VALUE"""),195)</f>
        <v>195</v>
      </c>
      <c r="E58" s="11" t="str">
        <f aca="false">IFERROR(__xludf.dummyfunction("""COMPUTED_VALUE"""),"/karandashi-cvetnye-maped-franciya-color-peps-star-12-cvetov-trehgrannye-zatochennye-evropodves-180880-/")</f>
        <v>/karandashi-cvetnye-maped-franciya-color-peps-star-12-cvetov-trehgrannye-zatochennye-evropodves-180880-/</v>
      </c>
    </row>
    <row r="59" customFormat="false" ht="15.75" hidden="false" customHeight="false" outlineLevel="0" collapsed="false">
      <c r="A59" s="11" t="n">
        <f aca="false">IFERROR(__xludf.dummyfunction("""COMPUTED_VALUE"""),204585)</f>
        <v>204585</v>
      </c>
      <c r="B59" s="11" t="str">
        <f aca="false">IFERROR(__xludf.dummyfunction("""COMPUTED_VALUE"""),"Карандаши цветные MAPED (Франция) ""Pulse'"" (181601)")</f>
        <v>Карандаши цветные MAPED (Франция) "Pulse'" (181601)</v>
      </c>
      <c r="C59" s="11" t="str">
        <f aca="false">IFERROR(__xludf.dummyfunction("""COMPUTED_VALUE"""),"В наличии 260")</f>
        <v>В наличии 260</v>
      </c>
      <c r="D59" s="11" t="n">
        <f aca="false">IFERROR(__xludf.dummyfunction("""COMPUTED_VALUE"""),383)</f>
        <v>383</v>
      </c>
      <c r="E59" s="11" t="str">
        <f aca="false">IFERROR(__xludf.dummyfunction("""COMPUTED_VALUE"""),"/karandashi-cvetnye-maped-franciya-pulse-181601-/")</f>
        <v>/karandashi-cvetnye-maped-franciya-pulse-181601-/</v>
      </c>
    </row>
    <row r="60" customFormat="false" ht="15.75" hidden="false" customHeight="false" outlineLevel="0" collapsed="false">
      <c r="A60" s="11" t="n">
        <f aca="false">IFERROR(__xludf.dummyfunction("""COMPUTED_VALUE"""),301664)</f>
        <v>301664</v>
      </c>
      <c r="B60" s="11" t="str">
        <f aca="false">IFERROR(__xludf.dummyfunction("""COMPUTED_VALUE"""),"Карандаши цветные STABILO ""Color"", 12 цветов, грифель 2,5 мм, заточенные, 
картонный футляр, 1912-77, 1912/77-11 (181107)")</f>
        <v>Карандаши цветные STABILO "Color", 12 цветов, грифель 2,5 мм, заточенные, 
картонный футляр, 1912-77, 1912/77-11 (181107)</v>
      </c>
      <c r="C60" s="11" t="str">
        <f aca="false">IFERROR(__xludf.dummyfunction("""COMPUTED_VALUE"""),"В наличии 37")</f>
        <v>В наличии 37</v>
      </c>
      <c r="D60" s="11" t="n">
        <f aca="false">IFERROR(__xludf.dummyfunction("""COMPUTED_VALUE"""),439)</f>
        <v>439</v>
      </c>
      <c r="E60" s="11" t="str">
        <f aca="false">IFERROR(__xludf.dummyfunction("""COMPUTED_VALUE"""),"/karandashi-cvetnye-stabilo-color-12-cvetov-grifel-2-5-mm-zatochennye-kartonnyj-futlyar-1912-77-1912-77-11-181107-/")</f>
        <v>/karandashi-cvetnye-stabilo-color-12-cvetov-grifel-2-5-mm-zatochennye-kartonnyj-futlyar-1912-77-1912-77-11-181107-/</v>
      </c>
    </row>
    <row r="61" customFormat="false" ht="15.75" hidden="false" customHeight="false" outlineLevel="0" collapsed="false">
      <c r="A61" s="11" t="n">
        <f aca="false">IFERROR(__xludf.dummyfunction("""COMPUTED_VALUE"""),204006)</f>
        <v>204006</v>
      </c>
      <c r="B61" s="11" t="str">
        <f aca="false">IFERROR(__xludf.dummyfunction("""COMPUTED_VALUE"""),"Карандаши цветные акварельные BRAUBERG ""Artist line"" (180570)")</f>
        <v>Карандаши цветные акварельные BRAUBERG "Artist line" (180570)</v>
      </c>
      <c r="C61" s="11" t="str">
        <f aca="false">IFERROR(__xludf.dummyfunction("""COMPUTED_VALUE"""),"В наличии 1258")</f>
        <v>В наличии 1258</v>
      </c>
      <c r="D61" s="11" t="n">
        <f aca="false">IFERROR(__xludf.dummyfunction("""COMPUTED_VALUE"""),476)</f>
        <v>476</v>
      </c>
      <c r="E61" s="11" t="str">
        <f aca="false">IFERROR(__xludf.dummyfunction("""COMPUTED_VALUE"""),"/karandashi-cvetnye-akvarelnye-brauberg-artist-line-180570-/")</f>
        <v>/karandashi-cvetnye-akvarelnye-brauberg-artist-line-180570-/</v>
      </c>
    </row>
    <row r="62" customFormat="false" ht="15.75" hidden="false" customHeight="false" outlineLevel="0" collapsed="false">
      <c r="A62" s="11" t="n">
        <f aca="false">IFERROR(__xludf.dummyfunction("""COMPUTED_VALUE"""),204476)</f>
        <v>204476</v>
      </c>
      <c r="B62" s="11" t="str">
        <f aca="false">IFERROR(__xludf.dummyfunction("""COMPUTED_VALUE"""),"Карандаши цветные акварельные BRAUBERG ""АКАДЕМИЯ"" (181400)")</f>
        <v>Карандаши цветные акварельные BRAUBERG "АКАДЕМИЯ" (181400)</v>
      </c>
      <c r="C62" s="11" t="str">
        <f aca="false">IFERROR(__xludf.dummyfunction("""COMPUTED_VALUE"""),"В наличии 739")</f>
        <v>В наличии 739</v>
      </c>
      <c r="D62" s="11" t="n">
        <f aca="false">IFERROR(__xludf.dummyfunction("""COMPUTED_VALUE"""),327)</f>
        <v>327</v>
      </c>
      <c r="E62" s="11" t="str">
        <f aca="false">IFERROR(__xludf.dummyfunction("""COMPUTED_VALUE"""),"/karandashi-cvetnye-akvarelnye-brauberg-akademiya-181400-/")</f>
        <v>/karandashi-cvetnye-akvarelnye-brauberg-akademiya-181400-/</v>
      </c>
    </row>
    <row r="63" customFormat="false" ht="15.75" hidden="false" customHeight="false" outlineLevel="0" collapsed="false">
      <c r="A63" s="11" t="n">
        <f aca="false">IFERROR(__xludf.dummyfunction("""COMPUTED_VALUE"""),204507)</f>
        <v>204507</v>
      </c>
      <c r="B63" s="11" t="str">
        <f aca="false">IFERROR(__xludf.dummyfunction("""COMPUTED_VALUE"""),"Карандаши цветные акварельные BRUNO VISCONTI ""Aquarelle"" (181438)")</f>
        <v>Карандаши цветные акварельные BRUNO VISCONTI "Aquarelle" (181438)</v>
      </c>
      <c r="C63" s="11" t="str">
        <f aca="false">IFERROR(__xludf.dummyfunction("""COMPUTED_VALUE"""),"В наличии 491")</f>
        <v>В наличии 491</v>
      </c>
      <c r="D63" s="11" t="n">
        <f aca="false">IFERROR(__xludf.dummyfunction("""COMPUTED_VALUE"""),361)</f>
        <v>361</v>
      </c>
      <c r="E63" s="11" t="str">
        <f aca="false">IFERROR(__xludf.dummyfunction("""COMPUTED_VALUE"""),"/karandashi-cvetnye-akvarelnye-bruno-visconti-aquarelle-181438-/")</f>
        <v>/karandashi-cvetnye-akvarelnye-bruno-visconti-aquarelle-181438-/</v>
      </c>
    </row>
    <row r="64" customFormat="false" ht="15.75" hidden="false" customHeight="false" outlineLevel="0" collapsed="false">
      <c r="A64" s="11" t="n">
        <f aca="false">IFERROR(__xludf.dummyfunction("""COMPUTED_VALUE"""),251029)</f>
        <v>251029</v>
      </c>
      <c r="B64" s="11" t="str">
        <f aca="false">IFERROR(__xludf.dummyfunction("""COMPUTED_VALUE"""),"Карандаши цветные акварельные CARIOCA ""Acquarell"", 12 цветов, шестигранные, 
заточенные, 42857")</f>
        <v>Карандаши цветные акварельные CARIOCA "Acquarell", 12 цветов, шестигранные, 
заточенные, 42857</v>
      </c>
      <c r="C64" s="11" t="str">
        <f aca="false">IFERROR(__xludf.dummyfunction("""COMPUTED_VALUE"""),"В наличии 97")</f>
        <v>В наличии 97</v>
      </c>
      <c r="D64" s="11" t="n">
        <f aca="false">IFERROR(__xludf.dummyfunction("""COMPUTED_VALUE"""),191)</f>
        <v>191</v>
      </c>
      <c r="E64" s="11" t="str">
        <f aca="false">IFERROR(__xludf.dummyfunction("""COMPUTED_VALUE"""),"/karandashi-cvetnye-akvarelnye-carioca-acquarell-12-cvetov-shestigrannye-zatochennye-42857/")</f>
        <v>/karandashi-cvetnye-akvarelnye-carioca-acquarell-12-cvetov-shestigrannye-zatochennye-42857/</v>
      </c>
    </row>
    <row r="65" customFormat="false" ht="15.75" hidden="false" customHeight="false" outlineLevel="0" collapsed="false">
      <c r="A65" s="11" t="n">
        <f aca="false">IFERROR(__xludf.dummyfunction("""COMPUTED_VALUE"""),204194)</f>
        <v>204194</v>
      </c>
      <c r="B65" s="11" t="str">
        <f aca="false">IFERROR(__xludf.dummyfunction("""COMPUTED_VALUE"""),"Карандаши цветные акварельные KOH-I-NOOR ""Fish"" (181031)")</f>
        <v>Карандаши цветные акварельные KOH-I-NOOR "Fish" (181031)</v>
      </c>
      <c r="C65" s="11" t="str">
        <f aca="false">IFERROR(__xludf.dummyfunction("""COMPUTED_VALUE"""),"В наличии 443")</f>
        <v>В наличии 443</v>
      </c>
      <c r="D65" s="11" t="n">
        <f aca="false">IFERROR(__xludf.dummyfunction("""COMPUTED_VALUE"""),235)</f>
        <v>235</v>
      </c>
      <c r="E65" s="11" t="str">
        <f aca="false">IFERROR(__xludf.dummyfunction("""COMPUTED_VALUE"""),"/karandashi-cvetnye-akvarelnye-koh-i-noor-fish-181031-/")</f>
        <v>/karandashi-cvetnye-akvarelnye-koh-i-noor-fish-181031-/</v>
      </c>
    </row>
    <row r="66" customFormat="false" ht="15.75" hidden="false" customHeight="false" outlineLevel="0" collapsed="false">
      <c r="A66" s="11" t="n">
        <f aca="false">IFERROR(__xludf.dummyfunction("""COMPUTED_VALUE"""),204122)</f>
        <v>204122</v>
      </c>
      <c r="B66" s="11" t="str">
        <f aca="false">IFERROR(__xludf.dummyfunction("""COMPUTED_VALUE"""),"Карандаши цветные акварельные MAPED (Франция) ""Color Pep's"" (180888)")</f>
        <v>Карандаши цветные акварельные MAPED (Франция) "Color Pep's" (180888)</v>
      </c>
      <c r="C66" s="11" t="str">
        <f aca="false">IFERROR(__xludf.dummyfunction("""COMPUTED_VALUE"""),"В наличии 6")</f>
        <v>В наличии 6</v>
      </c>
      <c r="D66" s="11" t="n">
        <f aca="false">IFERROR(__xludf.dummyfunction("""COMPUTED_VALUE"""),395)</f>
        <v>395</v>
      </c>
      <c r="E66" s="11" t="str">
        <f aca="false">IFERROR(__xludf.dummyfunction("""COMPUTED_VALUE"""),"/karandashi-cvetnye-akvarelnye-maped-franciya-color-pep-s-180888-/")</f>
        <v>/karandashi-cvetnye-akvarelnye-maped-franciya-color-pep-s-180888-/</v>
      </c>
    </row>
    <row r="67" customFormat="false" ht="15.75" hidden="false" customHeight="false" outlineLevel="0" collapsed="false">
      <c r="A67" s="11" t="n">
        <f aca="false">IFERROR(__xludf.dummyfunction("""COMPUTED_VALUE"""),204480)</f>
        <v>204480</v>
      </c>
      <c r="B67" s="11" t="str">
        <f aca="false">IFERROR(__xludf.dummyfunction("""COMPUTED_VALUE"""),"Карандаши цветные акварельные ЮНЛАНДИЯ ""ЮНЫЙ ВОЛШЕБНИК"" (181404)")</f>
        <v>Карандаши цветные акварельные ЮНЛАНДИЯ "ЮНЫЙ ВОЛШЕБНИК" (181404)</v>
      </c>
      <c r="C67" s="11" t="str">
        <f aca="false">IFERROR(__xludf.dummyfunction("""COMPUTED_VALUE"""),"В наличии 10355")</f>
        <v>В наличии 10355</v>
      </c>
      <c r="D67" s="11" t="n">
        <f aca="false">IFERROR(__xludf.dummyfunction("""COMPUTED_VALUE"""),312)</f>
        <v>312</v>
      </c>
      <c r="E67" s="11" t="str">
        <f aca="false">IFERROR(__xludf.dummyfunction("""COMPUTED_VALUE"""),"/karandashi-cvetnye-akvarelnye-yunlandiya-yunyj-volshebnik-181404-/")</f>
        <v>/karandashi-cvetnye-akvarelnye-yunlandiya-yunyj-volshebnik-181404-/</v>
      </c>
    </row>
    <row r="68" customFormat="false" ht="15.75" hidden="false" customHeight="false" outlineLevel="0" collapsed="false">
      <c r="A68" s="11" t="n">
        <f aca="false">IFERROR(__xludf.dummyfunction("""COMPUTED_VALUE"""),370732)</f>
        <v>370732</v>
      </c>
      <c r="B68" s="11" t="str">
        <f aca="false">IFERROR(__xludf.dummyfunction("""COMPUTED_VALUE"""),"Карандаши цветные ГАММА ""Классические"", 24 цвета, грифель 3,3 мм, 
заточенные, шестигранные, металлический пенал, 80220214")</f>
        <v>Карандаши цветные ГАММА "Классические", 24 цвета, грифель 3,3 мм, 
заточенные, шестигранные, металлический пенал, 80220214</v>
      </c>
      <c r="C68" s="11" t="str">
        <f aca="false">IFERROR(__xludf.dummyfunction("""COMPUTED_VALUE"""),"В наличии 110")</f>
        <v>В наличии 110</v>
      </c>
      <c r="D68" s="11" t="n">
        <f aca="false">IFERROR(__xludf.dummyfunction("""COMPUTED_VALUE"""),412)</f>
        <v>412</v>
      </c>
      <c r="E68" s="11" t="str">
        <f aca="false">IFERROR(__xludf.dummyfunction("""COMPUTED_VALUE"""),"/karandashi-cvetnye-gamma-klassicheskie-24-cveta-grifel-3-3-mm-zatochennye-shestigrannye-metallicheskij-penal-80220214/")</f>
        <v>/karandashi-cvetnye-gamma-klassicheskie-24-cveta-grifel-3-3-mm-zatochennye-shestigrannye-metallicheskij-penal-80220214/</v>
      </c>
    </row>
    <row r="69" customFormat="false" ht="15.75" hidden="false" customHeight="false" outlineLevel="0" collapsed="false">
      <c r="A69" s="11" t="n">
        <f aca="false">IFERROR(__xludf.dummyfunction("""COMPUTED_VALUE"""),269428)</f>
        <v>269428</v>
      </c>
      <c r="B69" s="11" t="str">
        <f aca="false">IFERROR(__xludf.dummyfunction("""COMPUTED_VALUE"""),"Карандаши цветные ГАММА ""Классические"", 48 цветов, заточенные, 
шестигранные, картонная упаковка, 210119_01 (181725)")</f>
        <v>Карандаши цветные ГАММА "Классические", 48 цветов, заточенные, 
шестигранные, картонная упаковка, 210119_01 (181725)</v>
      </c>
      <c r="C69" s="11" t="str">
        <f aca="false">IFERROR(__xludf.dummyfunction("""COMPUTED_VALUE"""),"В наличии 18")</f>
        <v>В наличии 18</v>
      </c>
      <c r="D69" s="11" t="n">
        <f aca="false">IFERROR(__xludf.dummyfunction("""COMPUTED_VALUE"""),717)</f>
        <v>717</v>
      </c>
      <c r="E69" s="11" t="str">
        <f aca="false">IFERROR(__xludf.dummyfunction("""COMPUTED_VALUE"""),"/karandashi-cvetnye-gamma-klassicheskie-48-cvetov-zatochennye-shestigrannye-kartonnaya-upakovka-210119_01-181725-/")</f>
        <v>/karandashi-cvetnye-gamma-klassicheskie-48-cvetov-zatochennye-shestigrannye-kartonnaya-upakovka-210119_01-181725-/</v>
      </c>
    </row>
    <row r="70" customFormat="false" ht="15.75" hidden="false" customHeight="false" outlineLevel="0" collapsed="false">
      <c r="A70" s="11" t="n">
        <f aca="false">IFERROR(__xludf.dummyfunction("""COMPUTED_VALUE"""),269429)</f>
        <v>269429</v>
      </c>
      <c r="B70" s="11" t="str">
        <f aca="false">IFERROR(__xludf.dummyfunction("""COMPUTED_VALUE"""),"Карандаши цветные ГАММА ""Классические"", 72 цвета, заточенные, шестигранные, 
картонная упаковка, 210119_02 (181726)")</f>
        <v>Карандаши цветные ГАММА "Классические", 72 цвета, заточенные, шестигранные, 
картонная упаковка, 210119_02 (181726)</v>
      </c>
      <c r="C70" s="11" t="str">
        <f aca="false">IFERROR(__xludf.dummyfunction("""COMPUTED_VALUE"""),"В наличии 68")</f>
        <v>В наличии 68</v>
      </c>
      <c r="D70" s="11" t="n">
        <f aca="false">IFERROR(__xludf.dummyfunction("""COMPUTED_VALUE"""),1487)</f>
        <v>1487</v>
      </c>
      <c r="E70" s="11" t="str">
        <f aca="false">IFERROR(__xludf.dummyfunction("""COMPUTED_VALUE"""),"/karandashi-cvetnye-gamma-klassicheskie-72-cveta-zatochennye-shestigrannye-kartonnaya-upakovka-210119_02-181726-/")</f>
        <v>/karandashi-cvetnye-gamma-klassicheskie-72-cveta-zatochennye-shestigrannye-kartonnaya-upakovka-210119_02-181726-/</v>
      </c>
    </row>
    <row r="71" customFormat="false" ht="15.75" hidden="false" customHeight="false" outlineLevel="0" collapsed="false">
      <c r="A71" s="11" t="n">
        <f aca="false">IFERROR(__xludf.dummyfunction("""COMPUTED_VALUE"""),204523)</f>
        <v>204523</v>
      </c>
      <c r="B71" s="11" t="str">
        <f aca="false">IFERROR(__xludf.dummyfunction("""COMPUTED_VALUE"""),"Карандаши цветные ГАММА ""Мультики"" (181470)")</f>
        <v>Карандаши цветные ГАММА "Мультики" (181470)</v>
      </c>
      <c r="C71" s="11" t="str">
        <f aca="false">IFERROR(__xludf.dummyfunction("""COMPUTED_VALUE"""),"В наличии 35")</f>
        <v>В наличии 35</v>
      </c>
      <c r="D71" s="11" t="n">
        <f aca="false">IFERROR(__xludf.dummyfunction("""COMPUTED_VALUE"""),214)</f>
        <v>214</v>
      </c>
      <c r="E71" s="11" t="str">
        <f aca="false">IFERROR(__xludf.dummyfunction("""COMPUTED_VALUE"""),"/karandashi-cvetnye-gamma-multiki-181470-/")</f>
        <v>/karandashi-cvetnye-gamma-multiki-181470-/</v>
      </c>
    </row>
    <row r="72" customFormat="false" ht="15.75" hidden="false" customHeight="false" outlineLevel="0" collapsed="false">
      <c r="A72" s="11" t="n">
        <f aca="false">IFERROR(__xludf.dummyfunction("""COMPUTED_VALUE"""),204524)</f>
        <v>204524</v>
      </c>
      <c r="B72" s="11" t="str">
        <f aca="false">IFERROR(__xludf.dummyfunction("""COMPUTED_VALUE"""),"Карандаши цветные ГАММА ""Мультики"" (181471)")</f>
        <v>Карандаши цветные ГАММА "Мультики" (181471)</v>
      </c>
      <c r="C72" s="11" t="str">
        <f aca="false">IFERROR(__xludf.dummyfunction("""COMPUTED_VALUE"""),"В наличии 55")</f>
        <v>В наличии 55</v>
      </c>
      <c r="D72" s="11" t="n">
        <f aca="false">IFERROR(__xludf.dummyfunction("""COMPUTED_VALUE"""),287)</f>
        <v>287</v>
      </c>
      <c r="E72" s="11" t="str">
        <f aca="false">IFERROR(__xludf.dummyfunction("""COMPUTED_VALUE"""),"/karandashi-cvetnye-gamma-multiki-181471-/")</f>
        <v>/karandashi-cvetnye-gamma-multiki-181471-/</v>
      </c>
    </row>
    <row r="73" customFormat="false" ht="15.75" hidden="false" customHeight="false" outlineLevel="0" collapsed="false">
      <c r="A73" s="11" t="n">
        <f aca="false">IFERROR(__xludf.dummyfunction("""COMPUTED_VALUE"""),204525)</f>
        <v>204525</v>
      </c>
      <c r="B73" s="11" t="str">
        <f aca="false">IFERROR(__xludf.dummyfunction("""COMPUTED_VALUE"""),"Карандаши цветные ГАММА ""Мультики"" (181472)")</f>
        <v>Карандаши цветные ГАММА "Мультики" (181472)</v>
      </c>
      <c r="C73" s="11" t="str">
        <f aca="false">IFERROR(__xludf.dummyfunction("""COMPUTED_VALUE"""),"В наличии 84")</f>
        <v>В наличии 84</v>
      </c>
      <c r="D73" s="11" t="n">
        <f aca="false">IFERROR(__xludf.dummyfunction("""COMPUTED_VALUE"""),427)</f>
        <v>427</v>
      </c>
      <c r="E73" s="11" t="str">
        <f aca="false">IFERROR(__xludf.dummyfunction("""COMPUTED_VALUE"""),"/karandashi-cvetnye-gamma-multiki-181472-/")</f>
        <v>/karandashi-cvetnye-gamma-multiki-181472-/</v>
      </c>
    </row>
    <row r="74" customFormat="false" ht="15.75" hidden="false" customHeight="false" outlineLevel="0" collapsed="false">
      <c r="A74" s="12" t="n">
        <f aca="false">IFERROR(__xludf.dummyfunction("IMPORTXML(getIdItems(""https://www.lustrof.ru/category/ofis/kanctovary/pismennye-i-chertezhnye-prinadlezhnosti/?page="",3),""//span[@class='products__item-info-code-v']"")"),204529)</f>
        <v>204529</v>
      </c>
      <c r="B74" s="11" t="str">
        <f aca="false">IFERROR(__xludf.dummyfunction("IMPORTXML(getIdItems(""https://www.lustrof.ru/category/ofis/kanctovary/pismennye-i-chertezhnye-prinadlezhnosti/?page="",3),""//span[@class='products__item-info-name']"")"),"Карандаши цветные ГАММА ''Классические'', 24 цвета, заточенные, 
шестигранные, картонная упаковка, 05091804, 050918_04 (181476)")</f>
        <v>Карандаши цветные ГАММА ''Классические'', 24 цвета, заточенные, 
шестигранные, картонная упаковка, 05091804, 050918_04 (181476)</v>
      </c>
      <c r="C74" s="11" t="str">
        <f aca="false">IFERROR(__xludf.dummyfunction("IMPORTXML(getIdItems(""https://www.lustrof.ru/category/ofis/kanctovary/pismennye-i-chertezhnye-prinadlezhnosti/?page="",3),""//span[@class='products__available-in-stock']"")"),"В наличии 32")</f>
        <v>В наличии 32</v>
      </c>
      <c r="D74" s="12" t="n">
        <f aca="false">IFERROR(__xludf.dummyfunction("IMPORTXML(getIdItems(""https://www.lustrof.ru/category/ofis/kanctovary/pismennye-i-chertezhnye-prinadlezhnosti/?page="",3),""//span[@class='products__price-new']/text()"")"),303)</f>
        <v>303</v>
      </c>
      <c r="E74" s="13" t="str">
        <f aca="false">IFERROR(__xludf.dummyfunction("IMPORTXML(getIdItems(""https://www.lustrof.ru/category/ofis/kanctovary/pismennye-i-chertezhnye-prinadlezhnosti/?page="",3),""//div[@class='products__item']/a/@href"")"),"/karandashi-cvetnye-gamma-klassicheskie-24-cveta-zatochennye-shestigrannye-kartonnaya-upakovka-05091804-050918_04-181476-/")</f>
        <v>/karandashi-cvetnye-gamma-klassicheskie-24-cveta-zatochennye-shestigrannye-kartonnaya-upakovka-05091804-050918_04-181476-/</v>
      </c>
    </row>
    <row r="75" customFormat="false" ht="15.75" hidden="false" customHeight="false" outlineLevel="0" collapsed="false">
      <c r="A75" s="11" t="n">
        <f aca="false">IFERROR(__xludf.dummyfunction("""COMPUTED_VALUE"""),235503)</f>
        <v>235503</v>
      </c>
      <c r="B75" s="11" t="str">
        <f aca="false">IFERROR(__xludf.dummyfunction("""COMPUTED_VALUE"""),"Карандаши цветные ЛУЧ ""Классика"", 24 цвета, заточенные, шестигранные, 
картонная упаковка, 29С 1712-08")</f>
        <v>Карандаши цветные ЛУЧ "Классика", 24 цвета, заточенные, шестигранные, 
картонная упаковка, 29С 1712-08</v>
      </c>
      <c r="C75" s="11" t="str">
        <f aca="false">IFERROR(__xludf.dummyfunction("""COMPUTED_VALUE"""),"В наличии 884")</f>
        <v>В наличии 884</v>
      </c>
      <c r="D75" s="11" t="n">
        <f aca="false">IFERROR(__xludf.dummyfunction("""COMPUTED_VALUE"""),260)</f>
        <v>260</v>
      </c>
      <c r="E75" s="11" t="str">
        <f aca="false">IFERROR(__xludf.dummyfunction("""COMPUTED_VALUE"""),"/karandashi-cvetnye-luch-klassika-24-cveta-zatochennye-shestigrannye-kartonnaya-upakovka-29s-1712-08/")</f>
        <v>/karandashi-cvetnye-luch-klassika-24-cveta-zatochennye-shestigrannye-kartonnaya-upakovka-29s-1712-08/</v>
      </c>
    </row>
    <row r="76" customFormat="false" ht="15.75" hidden="false" customHeight="false" outlineLevel="0" collapsed="false">
      <c r="A76" s="11" t="n">
        <f aca="false">IFERROR(__xludf.dummyfunction("""COMPUTED_VALUE"""),402395)</f>
        <v>402395</v>
      </c>
      <c r="B76" s="11" t="str">
        <f aca="false">IFERROR(__xludf.dummyfunction("""COMPUTED_VALUE"""),"Карандаши цветные мягкие BRAUBERG АКАДЕМИЯ, 24 цвета, шестигранные, грифель 
3 мм, 181866 (181866)")</f>
        <v>Карандаши цветные мягкие BRAUBERG АКАДЕМИЯ, 24 цвета, шестигранные, грифель 
3 мм, 181866 (181866)</v>
      </c>
      <c r="C76" s="11" t="str">
        <f aca="false">IFERROR(__xludf.dummyfunction("""COMPUTED_VALUE"""),"В наличии 24409")</f>
        <v>В наличии 24409</v>
      </c>
      <c r="D76" s="11" t="n">
        <f aca="false">IFERROR(__xludf.dummyfunction("""COMPUTED_VALUE"""),176)</f>
        <v>176</v>
      </c>
      <c r="E76" s="11" t="str">
        <f aca="false">IFERROR(__xludf.dummyfunction("""COMPUTED_VALUE"""),"/karandashi-cvetnye-myagkie-brauberg-akademiya-24-cveta-shestigrannye-grifel-3-mm-181866-181866-/")</f>
        <v>/karandashi-cvetnye-myagkie-brauberg-akademiya-24-cveta-shestigrannye-grifel-3-mm-181866-181866-/</v>
      </c>
    </row>
    <row r="77" customFormat="false" ht="15.75" hidden="false" customHeight="false" outlineLevel="0" collapsed="false">
      <c r="A77" s="11" t="n">
        <f aca="false">IFERROR(__xludf.dummyfunction("""COMPUTED_VALUE"""),402396)</f>
        <v>402396</v>
      </c>
      <c r="B77" s="11" t="str">
        <f aca="false">IFERROR(__xludf.dummyfunction("""COMPUTED_VALUE"""),"Карандаши цветные мягкие BRAUBERG АКАДЕМИЯ, 36 цветов, шестигранные, 
грифель 3 мм, 181867 (181867)")</f>
        <v>Карандаши цветные мягкие BRAUBERG АКАДЕМИЯ, 36 цветов, шестигранные, 
грифель 3 мм, 181867 (181867)</v>
      </c>
      <c r="C77" s="11" t="str">
        <f aca="false">IFERROR(__xludf.dummyfunction("""COMPUTED_VALUE"""),"В наличии 28629")</f>
        <v>В наличии 28629</v>
      </c>
      <c r="D77" s="11" t="n">
        <f aca="false">IFERROR(__xludf.dummyfunction("""COMPUTED_VALUE"""),265)</f>
        <v>265</v>
      </c>
      <c r="E77" s="11" t="str">
        <f aca="false">IFERROR(__xludf.dummyfunction("""COMPUTED_VALUE"""),"/karandashi-cvetnye-myagkie-brauberg-akademiya-36-cvetov-shestigrannye-grifel-3-mm-181867-181867-/")</f>
        <v>/karandashi-cvetnye-myagkie-brauberg-akademiya-36-cvetov-shestigrannye-grifel-3-mm-181867-181867-/</v>
      </c>
    </row>
    <row r="78" customFormat="false" ht="15.75" hidden="false" customHeight="false" outlineLevel="0" collapsed="false">
      <c r="A78" s="11" t="n">
        <f aca="false">IFERROR(__xludf.dummyfunction("""COMPUTED_VALUE"""),289975)</f>
        <v>289975</v>
      </c>
      <c r="B78" s="11" t="str">
        <f aca="false">IFERROR(__xludf.dummyfunction("""COMPUTED_VALUE"""),"Карандаши цветные мягкие ЮНЛАНДИЯ ""ЗАБАВНЫЕ КАРТИНКИ"", 24 цвета, 
классические, заточенные, 181645")</f>
        <v>Карандаши цветные мягкие ЮНЛАНДИЯ "ЗАБАВНЫЕ КАРТИНКИ", 24 цвета, 
классические, заточенные, 181645</v>
      </c>
      <c r="C78" s="11" t="str">
        <f aca="false">IFERROR(__xludf.dummyfunction("""COMPUTED_VALUE"""),"В наличии 5514")</f>
        <v>В наличии 5514</v>
      </c>
      <c r="D78" s="11" t="n">
        <f aca="false">IFERROR(__xludf.dummyfunction("""COMPUTED_VALUE"""),247)</f>
        <v>247</v>
      </c>
      <c r="E78" s="11" t="str">
        <f aca="false">IFERROR(__xludf.dummyfunction("""COMPUTED_VALUE"""),"/karandashi-cvetnye-myagkie-yunlandiya-zabavnye-kartinki-24-cveta-klassicheskie-zatochennye-181645/")</f>
        <v>/karandashi-cvetnye-myagkie-yunlandiya-zabavnye-kartinki-24-cveta-klassicheskie-zatochennye-181645/</v>
      </c>
    </row>
    <row r="79" customFormat="false" ht="15.75" hidden="false" customHeight="false" outlineLevel="0" collapsed="false">
      <c r="A79" s="11" t="n">
        <f aca="false">IFERROR(__xludf.dummyfunction("""COMPUTED_VALUE"""),289990)</f>
        <v>289990</v>
      </c>
      <c r="B79" s="11" t="str">
        <f aca="false">IFERROR(__xludf.dummyfunction("""COMPUTED_VALUE"""),"Карандаши цветные мягкие ЮНЛАНДИЯ ""ЮНЛАНДИК В ДЖУНГЛЯХ"", 12 цветов, 
металлический пенал, 181689")</f>
        <v>Карандаши цветные мягкие ЮНЛАНДИЯ "ЮНЛАНДИК В ДЖУНГЛЯХ", 12 цветов, 
металлический пенал, 181689</v>
      </c>
      <c r="C79" s="11" t="str">
        <f aca="false">IFERROR(__xludf.dummyfunction("""COMPUTED_VALUE"""),"В наличии 2658")</f>
        <v>В наличии 2658</v>
      </c>
      <c r="D79" s="11" t="n">
        <f aca="false">IFERROR(__xludf.dummyfunction("""COMPUTED_VALUE"""),256)</f>
        <v>256</v>
      </c>
      <c r="E79" s="11" t="str">
        <f aca="false">IFERROR(__xludf.dummyfunction("""COMPUTED_VALUE"""),"/karandashi-cvetnye-myagkie-yunlandiya-yunlandik-v-dzhunglyah-12-cvetov-metallicheskij-penal-181689/")</f>
        <v>/karandashi-cvetnye-myagkie-yunlandiya-yunlandik-v-dzhunglyah-12-cvetov-metallicheskij-penal-181689/</v>
      </c>
    </row>
    <row r="80" customFormat="false" ht="15.75" hidden="false" customHeight="false" outlineLevel="0" collapsed="false">
      <c r="A80" s="11" t="n">
        <f aca="false">IFERROR(__xludf.dummyfunction("""COMPUTED_VALUE"""),204431)</f>
        <v>204431</v>
      </c>
      <c r="B80" s="11" t="str">
        <f aca="false">IFERROR(__xludf.dummyfunction("""COMPUTED_VALUE"""),"Карандаши цветные ПИФАГОР ""БАБОЧКИ"" (181354)")</f>
        <v>Карандаши цветные ПИФАГОР "БАБОЧКИ" (181354)</v>
      </c>
      <c r="C80" s="11" t="str">
        <f aca="false">IFERROR(__xludf.dummyfunction("""COMPUTED_VALUE"""),"В наличии 47")</f>
        <v>В наличии 47</v>
      </c>
      <c r="D80" s="11" t="n">
        <f aca="false">IFERROR(__xludf.dummyfunction("""COMPUTED_VALUE"""),153)</f>
        <v>153</v>
      </c>
      <c r="E80" s="11" t="str">
        <f aca="false">IFERROR(__xludf.dummyfunction("""COMPUTED_VALUE"""),"/karandashi-cvetnye-pifagor-babochki-181354-/")</f>
        <v>/karandashi-cvetnye-pifagor-babochki-181354-/</v>
      </c>
    </row>
    <row r="81" customFormat="false" ht="15.75" hidden="false" customHeight="false" outlineLevel="0" collapsed="false">
      <c r="A81" s="11" t="n">
        <f aca="false">IFERROR(__xludf.dummyfunction("""COMPUTED_VALUE"""),287063)</f>
        <v>287063</v>
      </c>
      <c r="B81" s="11" t="str">
        <f aca="false">IFERROR(__xludf.dummyfunction("""COMPUTED_VALUE"""),"Карандаши цветные стираемые с резинкой 12 ЦВЕТОВ BIC ""Kids Evolution 
Illusion"", круглые, 987868")</f>
        <v>Карандаши цветные стираемые с резинкой 12 ЦВЕТОВ BIC "Kids Evolution 
Illusion", круглые, 987868</v>
      </c>
      <c r="C81" s="11" t="str">
        <f aca="false">IFERROR(__xludf.dummyfunction("""COMPUTED_VALUE"""),"В наличии 346")</f>
        <v>В наличии 346</v>
      </c>
      <c r="D81" s="11" t="n">
        <f aca="false">IFERROR(__xludf.dummyfunction("""COMPUTED_VALUE"""),377)</f>
        <v>377</v>
      </c>
      <c r="E81" s="11" t="str">
        <f aca="false">IFERROR(__xludf.dummyfunction("""COMPUTED_VALUE"""),"/karandashi-cvetnye-stiraemye-s-rezinkoj-12-cvetov-bic-kids-evolution-illusion-kruglye-987868/")</f>
        <v>/karandashi-cvetnye-stiraemye-s-rezinkoj-12-cvetov-bic-kids-evolution-illusion-kruglye-987868/</v>
      </c>
    </row>
    <row r="82" customFormat="false" ht="15.75" hidden="false" customHeight="false" outlineLevel="0" collapsed="false">
      <c r="A82" s="11" t="n">
        <f aca="false">IFERROR(__xludf.dummyfunction("""COMPUTED_VALUE"""),289979)</f>
        <v>289979</v>
      </c>
      <c r="B82" s="11" t="str">
        <f aca="false">IFERROR(__xludf.dummyfunction("""COMPUTED_VALUE"""),"Карандаши цветные супермягкие ЮНЛАНДИЯ ""ЭКЗОТИКА"", 24 цвета, трехгранные, с 
раскраской, 181649")</f>
        <v>Карандаши цветные супермягкие ЮНЛАНДИЯ "ЭКЗОТИКА", 24 цвета, трехгранные, с 
раскраской, 181649</v>
      </c>
      <c r="C82" s="11" t="str">
        <f aca="false">IFERROR(__xludf.dummyfunction("""COMPUTED_VALUE"""),"В наличии 3969")</f>
        <v>В наличии 3969</v>
      </c>
      <c r="D82" s="11" t="n">
        <f aca="false">IFERROR(__xludf.dummyfunction("""COMPUTED_VALUE"""),247)</f>
        <v>247</v>
      </c>
      <c r="E82" s="11" t="str">
        <f aca="false">IFERROR(__xludf.dummyfunction("""COMPUTED_VALUE"""),"/karandashi-cvetnye-supermyagkie-yunlandiya-kzotika-24-cveta-trehgrannye-s-raskraskoj-181649/")</f>
        <v>/karandashi-cvetnye-supermyagkie-yunlandiya-kzotika-24-cveta-trehgrannye-s-raskraskoj-181649/</v>
      </c>
    </row>
    <row r="83" customFormat="false" ht="15.75" hidden="false" customHeight="false" outlineLevel="0" collapsed="false">
      <c r="A83" s="11" t="n">
        <f aca="false">IFERROR(__xludf.dummyfunction("""COMPUTED_VALUE"""),203927)</f>
        <v>203927</v>
      </c>
      <c r="B83" s="11" t="str">
        <f aca="false">IFERROR(__xludf.dummyfunction("""COMPUTED_VALUE"""),"Карандаши цветные утолщенные BIC ""Triangle"" (180344)")</f>
        <v>Карандаши цветные утолщенные BIC "Triangle" (180344)</v>
      </c>
      <c r="C83" s="11" t="str">
        <f aca="false">IFERROR(__xludf.dummyfunction("""COMPUTED_VALUE"""),"В наличии 301")</f>
        <v>В наличии 301</v>
      </c>
      <c r="D83" s="11" t="n">
        <f aca="false">IFERROR(__xludf.dummyfunction("""COMPUTED_VALUE"""),452)</f>
        <v>452</v>
      </c>
      <c r="E83" s="11" t="str">
        <f aca="false">IFERROR(__xludf.dummyfunction("""COMPUTED_VALUE"""),"/karandashi-cvetnye-utolshennye-bic-triangle-180344-/")</f>
        <v>/karandashi-cvetnye-utolshennye-bic-triangle-180344-/</v>
      </c>
    </row>
    <row r="84" customFormat="false" ht="15.75" hidden="false" customHeight="false" outlineLevel="0" collapsed="false">
      <c r="A84" s="11" t="n">
        <f aca="false">IFERROR(__xludf.dummyfunction("""COMPUTED_VALUE"""),402401)</f>
        <v>402401</v>
      </c>
      <c r="B84" s="11" t="str">
        <f aca="false">IFERROR(__xludf.dummyfunction("""COMPUTED_VALUE"""),"Карандаши цветные утолщенные BRAUBERG KIDS 12 цветов, грифель 5 мм, 181878 
(181878)")</f>
        <v>Карандаши цветные утолщенные BRAUBERG KIDS 12 цветов, грифель 5 мм, 181878 
(181878)</v>
      </c>
      <c r="C84" s="11" t="str">
        <f aca="false">IFERROR(__xludf.dummyfunction("""COMPUTED_VALUE"""),"В наличии 2757")</f>
        <v>В наличии 2757</v>
      </c>
      <c r="D84" s="11" t="n">
        <f aca="false">IFERROR(__xludf.dummyfunction("""COMPUTED_VALUE"""),197)</f>
        <v>197</v>
      </c>
      <c r="E84" s="11" t="str">
        <f aca="false">IFERROR(__xludf.dummyfunction("""COMPUTED_VALUE"""),"/karandashi-cvetnye-utolshennye-brauberg-kids-12-cvetov-grifel-5-mm-181878-181878-/")</f>
        <v>/karandashi-cvetnye-utolshennye-brauberg-kids-12-cvetov-grifel-5-mm-181878-181878-/</v>
      </c>
    </row>
    <row r="85" customFormat="false" ht="15.75" hidden="false" customHeight="false" outlineLevel="0" collapsed="false">
      <c r="A85" s="11" t="n">
        <f aca="false">IFERROR(__xludf.dummyfunction("""COMPUTED_VALUE"""),402402)</f>
        <v>402402</v>
      </c>
      <c r="B85" s="11" t="str">
        <f aca="false">IFERROR(__xludf.dummyfunction("""COMPUTED_VALUE"""),"Карандаши цветные утолщенные BRAUBERG KIDS 24 цвета, грифель 5 мм, 181879 
(181879)")</f>
        <v>Карандаши цветные утолщенные BRAUBERG KIDS 24 цвета, грифель 5 мм, 181879 
(181879)</v>
      </c>
      <c r="C85" s="11" t="str">
        <f aca="false">IFERROR(__xludf.dummyfunction("""COMPUTED_VALUE"""),"В наличии 3129")</f>
        <v>В наличии 3129</v>
      </c>
      <c r="D85" s="11" t="n">
        <f aca="false">IFERROR(__xludf.dummyfunction("""COMPUTED_VALUE"""),396)</f>
        <v>396</v>
      </c>
      <c r="E85" s="11" t="str">
        <f aca="false">IFERROR(__xludf.dummyfunction("""COMPUTED_VALUE"""),"/karandashi-cvetnye-utolshennye-brauberg-kids-24-cveta-grifel-5-mm-181879-181879-/")</f>
        <v>/karandashi-cvetnye-utolshennye-brauberg-kids-24-cveta-grifel-5-mm-181879-181879-/</v>
      </c>
    </row>
    <row r="86" customFormat="false" ht="15.75" hidden="false" customHeight="false" outlineLevel="0" collapsed="false">
      <c r="A86" s="11" t="n">
        <f aca="false">IFERROR(__xludf.dummyfunction("""COMPUTED_VALUE"""),204099)</f>
        <v>204099</v>
      </c>
      <c r="B86" s="11" t="str">
        <f aca="false">IFERROR(__xludf.dummyfunction("""COMPUTED_VALUE"""),"Карандаши цветные утолщенные BRAUBERG, 12 цветов, трехгранные, картонная 
упаковка (180836)")</f>
        <v>Карандаши цветные утолщенные BRAUBERG, 12 цветов, трехгранные, картонная 
упаковка (180836)</v>
      </c>
      <c r="C86" s="11" t="str">
        <f aca="false">IFERROR(__xludf.dummyfunction("""COMPUTED_VALUE"""),"В наличии 509")</f>
        <v>В наличии 509</v>
      </c>
      <c r="D86" s="11" t="n">
        <f aca="false">IFERROR(__xludf.dummyfunction("""COMPUTED_VALUE"""),301)</f>
        <v>301</v>
      </c>
      <c r="E86" s="11" t="str">
        <f aca="false">IFERROR(__xludf.dummyfunction("""COMPUTED_VALUE"""),"/karandashi-cvetnye-utolshennye-brauberg-12-cvetov-trehgrannye-kartonnaya-upakovka-180836-/")</f>
        <v>/karandashi-cvetnye-utolshennye-brauberg-12-cvetov-trehgrannye-kartonnaya-upakovka-180836-/</v>
      </c>
    </row>
    <row r="87" customFormat="false" ht="15.75" hidden="false" customHeight="false" outlineLevel="0" collapsed="false">
      <c r="A87" s="11" t="n">
        <f aca="false">IFERROR(__xludf.dummyfunction("""COMPUTED_VALUE"""),204316)</f>
        <v>204316</v>
      </c>
      <c r="B87" s="11" t="str">
        <f aca="false">IFERROR(__xludf.dummyfunction("""COMPUTED_VALUE"""),"Карандаши цветные утолщенные STAEDTLER ""Noris Club"" (181205)")</f>
        <v>Карандаши цветные утолщенные STAEDTLER "Noris Club" (181205)</v>
      </c>
      <c r="C87" s="11" t="str">
        <f aca="false">IFERROR(__xludf.dummyfunction("""COMPUTED_VALUE"""),"В наличии 77")</f>
        <v>В наличии 77</v>
      </c>
      <c r="D87" s="11" t="n">
        <f aca="false">IFERROR(__xludf.dummyfunction("""COMPUTED_VALUE"""),157)</f>
        <v>157</v>
      </c>
      <c r="E87" s="11" t="str">
        <f aca="false">IFERROR(__xludf.dummyfunction("""COMPUTED_VALUE"""),"/karandashi-cvetnye-utolshennye-staedtler-noris-club-181205-/")</f>
        <v>/karandashi-cvetnye-utolshennye-staedtler-noris-club-181205-/</v>
      </c>
    </row>
    <row r="88" customFormat="false" ht="15.75" hidden="false" customHeight="false" outlineLevel="0" collapsed="false">
      <c r="A88" s="11" t="n">
        <f aca="false">IFERROR(__xludf.dummyfunction("""COMPUTED_VALUE"""),320173)</f>
        <v>320173</v>
      </c>
      <c r="B88" s="11" t="str">
        <f aca="false">IFERROR(__xludf.dummyfunction("""COMPUTED_VALUE"""),"Карандаши цветные утолщенные ГАММА ""Малыш"", 8 цветов, заточенные, с 
точилкой, 051218_03 (181920)")</f>
        <v>Карандаши цветные утолщенные ГАММА "Малыш", 8 цветов, заточенные, с 
точилкой, 051218_03 (181920)</v>
      </c>
      <c r="C88" s="11" t="str">
        <f aca="false">IFERROR(__xludf.dummyfunction("""COMPUTED_VALUE"""),"В наличии 58")</f>
        <v>В наличии 58</v>
      </c>
      <c r="D88" s="11" t="n">
        <f aca="false">IFERROR(__xludf.dummyfunction("""COMPUTED_VALUE"""),772)</f>
        <v>772</v>
      </c>
      <c r="E88" s="11" t="str">
        <f aca="false">IFERROR(__xludf.dummyfunction("""COMPUTED_VALUE"""),"/karandashi-cvetnye-utolshennye-gamma-malysh-8-cvetov-zatochennye-s-tochilkoj-051218_03-181920-/")</f>
        <v>/karandashi-cvetnye-utolshennye-gamma-malysh-8-cvetov-zatochennye-s-tochilkoj-051218_03-181920-/</v>
      </c>
    </row>
    <row r="89" customFormat="false" ht="15.75" hidden="false" customHeight="false" outlineLevel="0" collapsed="false">
      <c r="A89" s="11" t="n">
        <f aca="false">IFERROR(__xludf.dummyfunction("""COMPUTED_VALUE"""),204446)</f>
        <v>204446</v>
      </c>
      <c r="B89" s="11" t="str">
        <f aca="false">IFERROR(__xludf.dummyfunction("""COMPUTED_VALUE"""),"Карандаши цветные утолщенные ЮНЛАНДИЯ ""СКАЗОЧНЫЙ МИР"" (181370)")</f>
        <v>Карандаши цветные утолщенные ЮНЛАНДИЯ "СКАЗОЧНЫЙ МИР" (181370)</v>
      </c>
      <c r="C89" s="11" t="str">
        <f aca="false">IFERROR(__xludf.dummyfunction("""COMPUTED_VALUE"""),"В наличии 3441")</f>
        <v>В наличии 3441</v>
      </c>
      <c r="D89" s="11" t="n">
        <f aca="false">IFERROR(__xludf.dummyfunction("""COMPUTED_VALUE"""),257)</f>
        <v>257</v>
      </c>
      <c r="E89" s="11" t="str">
        <f aca="false">IFERROR(__xludf.dummyfunction("""COMPUTED_VALUE"""),"/karandashi-cvetnye-utolshennye-yunlandiya-skazochnyj-mir-181370-/")</f>
        <v>/karandashi-cvetnye-utolshennye-yunlandiya-skazochnyj-mir-181370-/</v>
      </c>
    </row>
    <row r="90" customFormat="false" ht="15.75" hidden="false" customHeight="false" outlineLevel="0" collapsed="false">
      <c r="A90" s="11" t="n">
        <f aca="false">IFERROR(__xludf.dummyfunction("""COMPUTED_VALUE"""),204462)</f>
        <v>204462</v>
      </c>
      <c r="B90" s="11" t="str">
        <f aca="false">IFERROR(__xludf.dummyfunction("""COMPUTED_VALUE"""),"Карандаши цветные ЮНЛАНДИЯ ""МИР ЖИВОТНЫХ"" (181386)")</f>
        <v>Карандаши цветные ЮНЛАНДИЯ "МИР ЖИВОТНЫХ" (181386)</v>
      </c>
      <c r="C90" s="11" t="str">
        <f aca="false">IFERROR(__xludf.dummyfunction("""COMPUTED_VALUE"""),"В наличии 2")</f>
        <v>В наличии 2</v>
      </c>
      <c r="D90" s="11" t="n">
        <f aca="false">IFERROR(__xludf.dummyfunction("""COMPUTED_VALUE"""),144)</f>
        <v>144</v>
      </c>
      <c r="E90" s="11" t="str">
        <f aca="false">IFERROR(__xludf.dummyfunction("""COMPUTED_VALUE"""),"/karandashi-cvetnye-yunlandiya-mir-zhivotnyh-181386-/")</f>
        <v>/karandashi-cvetnye-yunlandiya-mir-zhivotnyh-181386-/</v>
      </c>
    </row>
    <row r="91" customFormat="false" ht="15.75" hidden="false" customHeight="false" outlineLevel="0" collapsed="false">
      <c r="A91" s="11" t="n">
        <f aca="false">IFERROR(__xludf.dummyfunction("""COMPUTED_VALUE"""),204471)</f>
        <v>204471</v>
      </c>
      <c r="B91" s="11" t="str">
        <f aca="false">IFERROR(__xludf.dummyfunction("""COMPUTED_VALUE"""),"Карандаши цветные ЮНЛАНДИЯ ""СЛАДКИЕ ИСТОРИИ"" (181395)")</f>
        <v>Карандаши цветные ЮНЛАНДИЯ "СЛАДКИЕ ИСТОРИИ" (181395)</v>
      </c>
      <c r="C91" s="11" t="str">
        <f aca="false">IFERROR(__xludf.dummyfunction("""COMPUTED_VALUE"""),"В наличии 664")</f>
        <v>В наличии 664</v>
      </c>
      <c r="D91" s="11" t="n">
        <f aca="false">IFERROR(__xludf.dummyfunction("""COMPUTED_VALUE"""),224)</f>
        <v>224</v>
      </c>
      <c r="E91" s="11" t="str">
        <f aca="false">IFERROR(__xludf.dummyfunction("""COMPUTED_VALUE"""),"/karandashi-cvetnye-yunlandiya-sladkie-istorii-181395-/")</f>
        <v>/karandashi-cvetnye-yunlandiya-sladkie-istorii-181395-/</v>
      </c>
    </row>
    <row r="92" customFormat="false" ht="15.75" hidden="false" customHeight="false" outlineLevel="0" collapsed="false">
      <c r="A92" s="11" t="n">
        <f aca="false">IFERROR(__xludf.dummyfunction("""COMPUTED_VALUE"""),204472)</f>
        <v>204472</v>
      </c>
      <c r="B92" s="11" t="str">
        <f aca="false">IFERROR(__xludf.dummyfunction("""COMPUTED_VALUE"""),"Карандаши цветные ЮНЛАНДИЯ ""СЛАДКИЕ ИСТОРИИ"" (181396)")</f>
        <v>Карандаши цветные ЮНЛАНДИЯ "СЛАДКИЕ ИСТОРИИ" (181396)</v>
      </c>
      <c r="C92" s="11" t="str">
        <f aca="false">IFERROR(__xludf.dummyfunction("""COMPUTED_VALUE"""),"В наличии 617")</f>
        <v>В наличии 617</v>
      </c>
      <c r="D92" s="11" t="n">
        <f aca="false">IFERROR(__xludf.dummyfunction("""COMPUTED_VALUE"""),231)</f>
        <v>231</v>
      </c>
      <c r="E92" s="11" t="str">
        <f aca="false">IFERROR(__xludf.dummyfunction("""COMPUTED_VALUE"""),"/karandashi-cvetnye-yunlandiya-sladkie-istorii-181396-/")</f>
        <v>/karandashi-cvetnye-yunlandiya-sladkie-istorii-181396-/</v>
      </c>
    </row>
    <row r="93" customFormat="false" ht="15.75" hidden="false" customHeight="false" outlineLevel="0" collapsed="false">
      <c r="A93" s="11" t="n">
        <f aca="false">IFERROR(__xludf.dummyfunction("""COMPUTED_VALUE"""),204467)</f>
        <v>204467</v>
      </c>
      <c r="B93" s="11" t="str">
        <f aca="false">IFERROR(__xludf.dummyfunction("""COMPUTED_VALUE"""),"Карандаши цветные ЮНЛАНДИЯ ""ЮНЛАНДИК БЫСТРЕЕ ВСЕХ"" (181391)")</f>
        <v>Карандаши цветные ЮНЛАНДИЯ "ЮНЛАНДИК БЫСТРЕЕ ВСЕХ" (181391)</v>
      </c>
      <c r="C93" s="11" t="str">
        <f aca="false">IFERROR(__xludf.dummyfunction("""COMPUTED_VALUE"""),"В наличии 45")</f>
        <v>В наличии 45</v>
      </c>
      <c r="D93" s="11" t="n">
        <f aca="false">IFERROR(__xludf.dummyfunction("""COMPUTED_VALUE"""),150)</f>
        <v>150</v>
      </c>
      <c r="E93" s="11" t="str">
        <f aca="false">IFERROR(__xludf.dummyfunction("""COMPUTED_VALUE"""),"/karandashi-cvetnye-yunlandiya-yunlandik-bystree-vseh-181391-/")</f>
        <v>/karandashi-cvetnye-yunlandiya-yunlandik-bystree-vseh-181391-/</v>
      </c>
    </row>
    <row r="94" customFormat="false" ht="15.75" hidden="false" customHeight="false" outlineLevel="0" collapsed="false">
      <c r="A94" s="11" t="n">
        <f aca="false">IFERROR(__xludf.dummyfunction("""COMPUTED_VALUE"""),289983)</f>
        <v>289983</v>
      </c>
      <c r="B94" s="11" t="str">
        <f aca="false">IFERROR(__xludf.dummyfunction("""COMPUTED_VALUE"""),"Карандаши цветные ЮНЛАНДИЯ ""ЮНЛАНДИК-ДЕТЕКТИВ"", 24 цвета, трехгранные, с 
раскраской, 181682")</f>
        <v>Карандаши цветные ЮНЛАНДИЯ "ЮНЛАНДИК-ДЕТЕКТИВ", 24 цвета, трехгранные, с 
раскраской, 181682</v>
      </c>
      <c r="C94" s="11" t="str">
        <f aca="false">IFERROR(__xludf.dummyfunction("""COMPUTED_VALUE"""),"В наличии 3982")</f>
        <v>В наличии 3982</v>
      </c>
      <c r="D94" s="11" t="n">
        <f aca="false">IFERROR(__xludf.dummyfunction("""COMPUTED_VALUE"""),288)</f>
        <v>288</v>
      </c>
      <c r="E94" s="11" t="str">
        <f aca="false">IFERROR(__xludf.dummyfunction("""COMPUTED_VALUE"""),"/karandashi-cvetnye-yunlandiya-yunlandik-detektiv-24-cveta-trehgrannye-s-raskraskoj-181682/")</f>
        <v>/karandashi-cvetnye-yunlandiya-yunlandik-detektiv-24-cveta-trehgrannye-s-raskraskoj-181682/</v>
      </c>
    </row>
    <row r="95" customFormat="false" ht="15.75" hidden="false" customHeight="false" outlineLevel="0" collapsed="false">
      <c r="A95" s="11" t="n">
        <f aca="false">IFERROR(__xludf.dummyfunction("""COMPUTED_VALUE"""),204456)</f>
        <v>204456</v>
      </c>
      <c r="B95" s="11" t="str">
        <f aca="false">IFERROR(__xludf.dummyfunction("""COMPUTED_VALUE"""),"Карандаши цветные ЮНЛАНДИЯ ''В ГОСТЯХ У БУКАШЕК'', 24 цвета, классические 
заточенные, (181380)")</f>
        <v>Карандаши цветные ЮНЛАНДИЯ ''В ГОСТЯХ У БУКАШЕК'', 24 цвета, классические 
заточенные, (181380)</v>
      </c>
      <c r="C95" s="11" t="str">
        <f aca="false">IFERROR(__xludf.dummyfunction("""COMPUTED_VALUE"""),"В наличии 6370")</f>
        <v>В наличии 6370</v>
      </c>
      <c r="D95" s="11" t="n">
        <f aca="false">IFERROR(__xludf.dummyfunction("""COMPUTED_VALUE"""),214)</f>
        <v>214</v>
      </c>
      <c r="E95" s="11" t="str">
        <f aca="false">IFERROR(__xludf.dummyfunction("""COMPUTED_VALUE"""),"/karandashi-cvetnye-yunlandiya-v-gostyah-u-bukashek-24-cveta-klassicheskie-zatochennye-181380-/")</f>
        <v>/karandashi-cvetnye-yunlandiya-v-gostyah-u-bukashek-24-cveta-klassicheskie-zatochennye-181380-/</v>
      </c>
    </row>
    <row r="96" customFormat="false" ht="15.75" hidden="false" customHeight="false" outlineLevel="0" collapsed="false">
      <c r="A96" s="11" t="n">
        <f aca="false">IFERROR(__xludf.dummyfunction("""COMPUTED_VALUE"""),204026)</f>
        <v>204026</v>
      </c>
      <c r="B96" s="11" t="str">
        <f aca="false">IFERROR(__xludf.dummyfunction("""COMPUTED_VALUE"""),"Карандаши чернографитные BRAUBERG НАБОР 12 шт., ""Black Jack"", 2Н-4В, без 
резинки, черные, дерево, заточенные (180620)")</f>
        <v>Карандаши чернографитные BRAUBERG НАБОР 12 шт., "Black Jack", 2Н-4В, без 
резинки, черные, дерево, заточенные (180620)</v>
      </c>
      <c r="C96" s="11" t="str">
        <f aca="false">IFERROR(__xludf.dummyfunction("""COMPUTED_VALUE"""),"В наличии 15838")</f>
        <v>В наличии 15838</v>
      </c>
      <c r="D96" s="11" t="n">
        <f aca="false">IFERROR(__xludf.dummyfunction("""COMPUTED_VALUE"""),222)</f>
        <v>222</v>
      </c>
      <c r="E96" s="11" t="str">
        <f aca="false">IFERROR(__xludf.dummyfunction("""COMPUTED_VALUE"""),"/karandashi-chernografitnye-brauberg-nabor-12-sht-black-jack-2n-4v-bez-rezinki-chernye-derevo-zatochennye-180620-/")</f>
        <v>/karandashi-chernografitnye-brauberg-nabor-12-sht-black-jack-2n-4v-bez-rezinki-chernye-derevo-zatochennye-180620-/</v>
      </c>
    </row>
    <row r="97" customFormat="false" ht="15.75" hidden="false" customHeight="false" outlineLevel="0" collapsed="false">
      <c r="A97" s="11" t="n">
        <f aca="false">IFERROR(__xludf.dummyfunction("""COMPUTED_VALUE"""),204019)</f>
        <v>204019</v>
      </c>
      <c r="B97" s="11" t="str">
        <f aca="false">IFERROR(__xludf.dummyfunction("""COMPUTED_VALUE"""),"Карандаши чернографитные BRAUBERG НАБОР 6 шт. (180608)")</f>
        <v>Карандаши чернографитные BRAUBERG НАБОР 6 шт. (180608)</v>
      </c>
      <c r="C97" s="11" t="str">
        <f aca="false">IFERROR(__xludf.dummyfunction("""COMPUTED_VALUE"""),"В наличии 1413")</f>
        <v>В наличии 1413</v>
      </c>
      <c r="D97" s="11" t="n">
        <f aca="false">IFERROR(__xludf.dummyfunction("""COMPUTED_VALUE"""),153)</f>
        <v>153</v>
      </c>
      <c r="E97" s="11" t="str">
        <f aca="false">IFERROR(__xludf.dummyfunction("""COMPUTED_VALUE"""),"/karandashi-chernografitnye-brauberg-nabor-6-sht-180608-/")</f>
        <v>/karandashi-chernografitnye-brauberg-nabor-6-sht-180608-/</v>
      </c>
    </row>
    <row r="98" customFormat="false" ht="15.75" hidden="false" customHeight="false" outlineLevel="0" collapsed="false">
      <c r="A98" s="11" t="n">
        <f aca="false">IFERROR(__xludf.dummyfunction("""COMPUTED_VALUE"""),204077)</f>
        <v>204077</v>
      </c>
      <c r="B98" s="11" t="str">
        <f aca="false">IFERROR(__xludf.dummyfunction("""COMPUTED_VALUE"""),"Карандаши чернографитные KOH-I-NOOR (180809)")</f>
        <v>Карандаши чернографитные KOH-I-NOOR (180809)</v>
      </c>
      <c r="C98" s="11" t="str">
        <f aca="false">IFERROR(__xludf.dummyfunction("""COMPUTED_VALUE"""),"В наличии 36")</f>
        <v>В наличии 36</v>
      </c>
      <c r="D98" s="11" t="n">
        <f aca="false">IFERROR(__xludf.dummyfunction("""COMPUTED_VALUE"""),998)</f>
        <v>998</v>
      </c>
      <c r="E98" s="11" t="str">
        <f aca="false">IFERROR(__xludf.dummyfunction("""COMPUTED_VALUE"""),"/karandashi-chernografitnye-koh-i-noor-180809-/")</f>
        <v>/karandashi-chernografitnye-koh-i-noor-180809-/</v>
      </c>
    </row>
    <row r="99" customFormat="false" ht="15.75" hidden="false" customHeight="false" outlineLevel="0" collapsed="false">
      <c r="A99" s="11" t="n">
        <f aca="false">IFERROR(__xludf.dummyfunction("""COMPUTED_VALUE"""),204078)</f>
        <v>204078</v>
      </c>
      <c r="B99" s="11" t="str">
        <f aca="false">IFERROR(__xludf.dummyfunction("""COMPUTED_VALUE"""),"Карандаши чернографитные KOH-I-NOOR (180810)")</f>
        <v>Карандаши чернографитные KOH-I-NOOR (180810)</v>
      </c>
      <c r="C99" s="11" t="str">
        <f aca="false">IFERROR(__xludf.dummyfunction("""COMPUTED_VALUE"""),"В наличии 37")</f>
        <v>В наличии 37</v>
      </c>
      <c r="D99" s="11" t="n">
        <f aca="false">IFERROR(__xludf.dummyfunction("""COMPUTED_VALUE"""),944)</f>
        <v>944</v>
      </c>
      <c r="E99" s="11" t="str">
        <f aca="false">IFERROR(__xludf.dummyfunction("""COMPUTED_VALUE"""),"/karandashi-chernografitnye-koh-i-noor-180810-/")</f>
        <v>/karandashi-chernografitnye-koh-i-noor-180810-/</v>
      </c>
    </row>
    <row r="100" customFormat="false" ht="15.75" hidden="false" customHeight="false" outlineLevel="0" collapsed="false">
      <c r="A100" s="11" t="n">
        <f aca="false">IFERROR(__xludf.dummyfunction("""COMPUTED_VALUE"""),204225)</f>
        <v>204225</v>
      </c>
      <c r="B100" s="11" t="str">
        <f aca="false">IFERROR(__xludf.dummyfunction("""COMPUTED_VALUE"""),"Карандаши чернографитные KOH-I-NOOR (181071)")</f>
        <v>Карандаши чернографитные KOH-I-NOOR (181071)</v>
      </c>
      <c r="C100" s="11" t="str">
        <f aca="false">IFERROR(__xludf.dummyfunction("""COMPUTED_VALUE"""),"В наличии 79")</f>
        <v>В наличии 79</v>
      </c>
      <c r="D100" s="11" t="n">
        <f aca="false">IFERROR(__xludf.dummyfunction("""COMPUTED_VALUE"""),937)</f>
        <v>937</v>
      </c>
      <c r="E100" s="11" t="str">
        <f aca="false">IFERROR(__xludf.dummyfunction("""COMPUTED_VALUE"""),"/karandashi-chernografitnye-koh-i-noor-181071-/")</f>
        <v>/karandashi-chernografitnye-koh-i-noor-181071-/</v>
      </c>
    </row>
    <row r="101" customFormat="false" ht="15.75" hidden="false" customHeight="false" outlineLevel="0" collapsed="false">
      <c r="A101" s="11" t="n">
        <f aca="false">IFERROR(__xludf.dummyfunction("""COMPUTED_VALUE"""),203905)</f>
        <v>203905</v>
      </c>
      <c r="B101" s="11" t="str">
        <f aca="false">IFERROR(__xludf.dummyfunction("""COMPUTED_VALUE"""),"Карандаши чернографитные KOH-I-NOOR, НАБОР 10 шт., 2Н-2В, без резинки, 
заточенные, 1696/10, 1696010042TE (180255)")</f>
        <v>Карандаши чернографитные KOH-I-NOOR, НАБОР 10 шт., 2Н-2В, без резинки, 
заточенные, 1696/10, 1696010042TE (180255)</v>
      </c>
      <c r="C101" s="11" t="str">
        <f aca="false">IFERROR(__xludf.dummyfunction("""COMPUTED_VALUE"""),"В наличии 254")</f>
        <v>В наличии 254</v>
      </c>
      <c r="D101" s="11" t="n">
        <f aca="false">IFERROR(__xludf.dummyfunction("""COMPUTED_VALUE"""),397)</f>
        <v>397</v>
      </c>
      <c r="E101" s="11" t="str">
        <f aca="false">IFERROR(__xludf.dummyfunction("""COMPUTED_VALUE"""),"/karandashi-chernografitnye-koh-i-noor-nabor-10-sht-2n-2v-bez-rezinki-zatochennye-1696-10-1696010042te-180255-/")</f>
        <v>/karandashi-chernografitnye-koh-i-noor-nabor-10-sht-2n-2v-bez-rezinki-zatochennye-1696-10-1696010042te-180255-/</v>
      </c>
    </row>
    <row r="102" customFormat="false" ht="15.75" hidden="false" customHeight="false" outlineLevel="0" collapsed="false">
      <c r="A102" s="11" t="n">
        <f aca="false">IFERROR(__xludf.dummyfunction("""COMPUTED_VALUE"""),204016)</f>
        <v>204016</v>
      </c>
      <c r="B102" s="11" t="str">
        <f aca="false">IFERROR(__xludf.dummyfunction("""COMPUTED_VALUE"""),"Карандаши чернографитные MAPED (Франция) (180600)")</f>
        <v>Карандаши чернографитные MAPED (Франция) (180600)</v>
      </c>
      <c r="C102" s="11" t="str">
        <f aca="false">IFERROR(__xludf.dummyfunction("""COMPUTED_VALUE"""),"В наличии 819")</f>
        <v>В наличии 819</v>
      </c>
      <c r="D102" s="11" t="n">
        <f aca="false">IFERROR(__xludf.dummyfunction("""COMPUTED_VALUE"""),310)</f>
        <v>310</v>
      </c>
      <c r="E102" s="11" t="str">
        <f aca="false">IFERROR(__xludf.dummyfunction("""COMPUTED_VALUE"""),"/karandashi-chernografitnye-maped-franciya-180600-/")</f>
        <v>/karandashi-chernografitnye-maped-franciya-180600-/</v>
      </c>
    </row>
    <row r="103" customFormat="false" ht="15.75" hidden="false" customHeight="false" outlineLevel="0" collapsed="false">
      <c r="A103" s="11" t="n">
        <f aca="false">IFERROR(__xludf.dummyfunction("""COMPUTED_VALUE"""),204117)</f>
        <v>204117</v>
      </c>
      <c r="B103" s="11" t="str">
        <f aca="false">IFERROR(__xludf.dummyfunction("""COMPUTED_VALUE"""),"Карандаши чернографитные MAPED (Франция) (180878)")</f>
        <v>Карандаши чернографитные MAPED (Франция) (180878)</v>
      </c>
      <c r="C103" s="11" t="str">
        <f aca="false">IFERROR(__xludf.dummyfunction("""COMPUTED_VALUE"""),"В наличии 644")</f>
        <v>В наличии 644</v>
      </c>
      <c r="D103" s="11" t="n">
        <f aca="false">IFERROR(__xludf.dummyfunction("""COMPUTED_VALUE"""),305)</f>
        <v>305</v>
      </c>
      <c r="E103" s="11" t="str">
        <f aca="false">IFERROR(__xludf.dummyfunction("""COMPUTED_VALUE"""),"/karandashi-chernografitnye-maped-franciya-180878-/")</f>
        <v>/karandashi-chernografitnye-maped-franciya-180878-/</v>
      </c>
    </row>
    <row r="104" customFormat="false" ht="15.75" hidden="false" customHeight="false" outlineLevel="0" collapsed="false">
      <c r="A104" s="11" t="n">
        <f aca="false">IFERROR(__xludf.dummyfunction("""COMPUTED_VALUE"""),204588)</f>
        <v>204588</v>
      </c>
      <c r="B104" s="11" t="str">
        <f aca="false">IFERROR(__xludf.dummyfunction("""COMPUTED_VALUE"""),"Карандаши чернографитные MAPED В НАБОРЕ из 12 штук (181604)")</f>
        <v>Карандаши чернографитные MAPED В НАБОРЕ из 12 штук (181604)</v>
      </c>
      <c r="C104" s="11" t="str">
        <f aca="false">IFERROR(__xludf.dummyfunction("""COMPUTED_VALUE"""),"В наличии 590")</f>
        <v>В наличии 590</v>
      </c>
      <c r="D104" s="11" t="n">
        <f aca="false">IFERROR(__xludf.dummyfunction("""COMPUTED_VALUE"""),358)</f>
        <v>358</v>
      </c>
      <c r="E104" s="11" t="str">
        <f aca="false">IFERROR(__xludf.dummyfunction("""COMPUTED_VALUE"""),"/karandashi-chernografitnye-maped-v-nabore-iz-12-shtuk-181604-/")</f>
        <v>/karandashi-chernografitnye-maped-v-nabore-iz-12-shtuk-181604-/</v>
      </c>
    </row>
    <row r="105" customFormat="false" ht="15.75" hidden="false" customHeight="false" outlineLevel="0" collapsed="false">
      <c r="A105" s="11" t="n">
        <f aca="false">IFERROR(__xludf.dummyfunction("""COMPUTED_VALUE"""),269293)</f>
        <v>269293</v>
      </c>
      <c r="B105" s="11" t="str">
        <f aca="false">IFERROR(__xludf.dummyfunction("""COMPUTED_VALUE"""),"Карандаши чернографитные НАБОР 12 шт. 2B-2H KOH-I-NOOR ""1696"", 1696/12, 
1696012043TE (181799)")</f>
        <v>Карандаши чернографитные НАБОР 12 шт. 2B-2H KOH-I-NOOR "1696", 1696/12, 
1696012043TE (181799)</v>
      </c>
      <c r="C105" s="11" t="str">
        <f aca="false">IFERROR(__xludf.dummyfunction("""COMPUTED_VALUE"""),"В наличии 46")</f>
        <v>В наличии 46</v>
      </c>
      <c r="D105" s="11" t="n">
        <f aca="false">IFERROR(__xludf.dummyfunction("""COMPUTED_VALUE"""),416)</f>
        <v>416</v>
      </c>
      <c r="E105" s="11" t="str">
        <f aca="false">IFERROR(__xludf.dummyfunction("""COMPUTED_VALUE"""),"/karandashi-chernografitnye-nabor-12-sht-2b-2h-koh-i-noor-1696-1696-12-1696012043te-181799-/")</f>
        <v>/karandashi-chernografitnye-nabor-12-sht-2b-2h-koh-i-noor-1696-1696-12-1696012043te-181799-/</v>
      </c>
    </row>
    <row r="106" customFormat="false" ht="15.75" hidden="false" customHeight="false" outlineLevel="0" collapsed="false">
      <c r="A106" s="11" t="n">
        <f aca="false">IFERROR(__xludf.dummyfunction("""COMPUTED_VALUE"""),204037)</f>
        <v>204037</v>
      </c>
      <c r="B106" s="11" t="str">
        <f aca="false">IFERROR(__xludf.dummyfunction("""COMPUTED_VALUE"""),"Карандаши чернографитные ОФИСМАГ НАБОР 48 шт. (180639)")</f>
        <v>Карандаши чернографитные ОФИСМАГ НАБОР 48 шт. (180639)</v>
      </c>
      <c r="C106" s="11" t="str">
        <f aca="false">IFERROR(__xludf.dummyfunction("""COMPUTED_VALUE"""),"В наличии 1320")</f>
        <v>В наличии 1320</v>
      </c>
      <c r="D106" s="11" t="n">
        <f aca="false">IFERROR(__xludf.dummyfunction("""COMPUTED_VALUE"""),373)</f>
        <v>373</v>
      </c>
      <c r="E106" s="11" t="str">
        <f aca="false">IFERROR(__xludf.dummyfunction("""COMPUTED_VALUE"""),"/karandashi-chernografitnye-ofismag-nabor-48-sht-180639-/")</f>
        <v>/karandashi-chernografitnye-ofismag-nabor-48-sht-180639-/</v>
      </c>
    </row>
    <row r="107" customFormat="false" ht="15.75" hidden="false" customHeight="false" outlineLevel="0" collapsed="false">
      <c r="A107" s="11" t="n">
        <f aca="false">IFERROR(__xludf.dummyfunction("""COMPUTED_VALUE"""),386203)</f>
        <v>386203</v>
      </c>
      <c r="B107" s="11" t="str">
        <f aca="false">IFERROR(__xludf.dummyfunction("""COMPUTED_VALUE"""),"Карандаши чернографитные простые HB, ВЫГОДНАЯ УПАКОВКА КОМПЛЕКТ 72 штуки, 
STAFF, 181880 (181880)")</f>
        <v>Карандаши чернографитные простые HB, ВЫГОДНАЯ УПАКОВКА КОМПЛЕКТ 72 штуки, 
STAFF, 181880 (181880)</v>
      </c>
      <c r="C107" s="11" t="str">
        <f aca="false">IFERROR(__xludf.dummyfunction("""COMPUTED_VALUE"""),"В наличии 12495")</f>
        <v>В наличии 12495</v>
      </c>
      <c r="D107" s="11" t="n">
        <f aca="false">IFERROR(__xludf.dummyfunction("""COMPUTED_VALUE"""),365)</f>
        <v>365</v>
      </c>
      <c r="E107" s="11" t="str">
        <f aca="false">IFERROR(__xludf.dummyfunction("""COMPUTED_VALUE"""),"/karandashi-chernografitnye-prostye-hb-vygodnaya-upakovka-komplekt-72-shtuki-staff-181880-181880-/")</f>
        <v>/karandashi-chernografitnye-prostye-hb-vygodnaya-upakovka-komplekt-72-shtuki-staff-181880-181880-/</v>
      </c>
    </row>
    <row r="108" customFormat="false" ht="15.75" hidden="false" customHeight="false" outlineLevel="0" collapsed="false">
      <c r="A108" s="11" t="n">
        <f aca="false">IFERROR(__xludf.dummyfunction("""COMPUTED_VALUE"""),386204)</f>
        <v>386204</v>
      </c>
      <c r="B108" s="11" t="str">
        <f aca="false">IFERROR(__xludf.dummyfunction("""COMPUTED_VALUE"""),"Карандаши чернографитные простые с ластиком HB, ВЫГОДНАЯ УПАКОВКА КОМПЛЕКТ 
30 штук, STAFF, 181881 (181881)")</f>
        <v>Карандаши чернографитные простые с ластиком HB, ВЫГОДНАЯ УПАКОВКА КОМПЛЕКТ 
30 штук, STAFF, 181881 (181881)</v>
      </c>
      <c r="C108" s="11" t="str">
        <f aca="false">IFERROR(__xludf.dummyfunction("""COMPUTED_VALUE"""),"В наличии 11390")</f>
        <v>В наличии 11390</v>
      </c>
      <c r="D108" s="11" t="n">
        <f aca="false">IFERROR(__xludf.dummyfunction("""COMPUTED_VALUE"""),174)</f>
        <v>174</v>
      </c>
      <c r="E108" s="11" t="str">
        <f aca="false">IFERROR(__xludf.dummyfunction("""COMPUTED_VALUE"""),"/karandashi-chernografitnye-prostye-s-lastikom-hb-vygodnaya-upakovka-komplekt-30-shtuk-staff-181881-181881-/")</f>
        <v>/karandashi-chernografitnye-prostye-s-lastikom-hb-vygodnaya-upakovka-komplekt-30-shtuk-staff-181881-181881-/</v>
      </c>
    </row>
    <row r="109" customFormat="false" ht="15.75" hidden="false" customHeight="false" outlineLevel="0" collapsed="false">
      <c r="A109" s="11" t="n">
        <f aca="false">IFERROR(__xludf.dummyfunction("""COMPUTED_VALUE"""),386205)</f>
        <v>386205</v>
      </c>
      <c r="B109" s="11" t="str">
        <f aca="false">IFERROR(__xludf.dummyfunction("""COMPUTED_VALUE"""),"Карандаши чернографитные простые с ластиком HB, ВЫГОДНАЯ УПАКОВКА КОМПЛЕКТ 
72 штуки, STAFF, 181882 (181882)")</f>
        <v>Карандаши чернографитные простые с ластиком HB, ВЫГОДНАЯ УПАКОВКА КОМПЛЕКТ 
72 штуки, STAFF, 181882 (181882)</v>
      </c>
      <c r="C109" s="11" t="str">
        <f aca="false">IFERROR(__xludf.dummyfunction("""COMPUTED_VALUE"""),"В наличии 12882")</f>
        <v>В наличии 12882</v>
      </c>
      <c r="D109" s="11" t="n">
        <f aca="false">IFERROR(__xludf.dummyfunction("""COMPUTED_VALUE"""),409)</f>
        <v>409</v>
      </c>
      <c r="E109" s="11" t="str">
        <f aca="false">IFERROR(__xludf.dummyfunction("""COMPUTED_VALUE"""),"/karandashi-chernografitnye-prostye-s-lastikom-hb-vygodnaya-upakovka-komplekt-72-shtuki-staff-181882-181882-/")</f>
        <v>/karandashi-chernografitnye-prostye-s-lastikom-hb-vygodnaya-upakovka-komplekt-72-shtuki-staff-181882-181882-/</v>
      </c>
    </row>
    <row r="110" customFormat="false" ht="15.75" hidden="false" customHeight="false" outlineLevel="0" collapsed="false">
      <c r="A110" s="12" t="n">
        <f aca="false">IFERROR(__xludf.dummyfunction("IMPORTXML(getIdItems(""https://www.lustrof.ru/category/ofis/kanctovary/pismennye-i-chertezhnye-prinadlezhnosti/?page="",4),""//span[@class='products__item-info-code-v']"")"),375923)</f>
        <v>375923</v>
      </c>
      <c r="B110" s="13" t="str">
        <f aca="false">IFERROR(__xludf.dummyfunction("IMPORTXML(getIdItems(""https://www.lustrof.ru/category/ofis/kanctovary/pismennye-i-chertezhnye-prinadlezhnosti/?page="",4),""//span[@class='products__item-info-name']"")"),"Карандаши чернографитные профессиональные 8H-8B НАБОР 18 штук, BRAUBERG ART 
""PREMIERE"", 181893 181893")</f>
        <v>Карандаши чернографитные профессиональные 8H-8B НАБОР 18 штук, BRAUBERG ART 
"PREMIERE", 181893 181893</v>
      </c>
      <c r="C110" s="11" t="str">
        <f aca="false">IFERROR(__xludf.dummyfunction("IMPORTXML(getIdItems(""https://www.lustrof.ru/category/ofis/kanctovary/pismennye-i-chertezhnye-prinadlezhnosti/?page="",4),""//span[@class='products__available-in-stock']"")"),"В наличии 3175")</f>
        <v>В наличии 3175</v>
      </c>
      <c r="D110" s="12" t="n">
        <f aca="false">IFERROR(__xludf.dummyfunction("IMPORTXML(getIdItems(""https://www.lustrof.ru/category/ofis/kanctovary/pismennye-i-chertezhnye-prinadlezhnosti/?page="",4),""//span[@class='products__price-new']/text()"")"),223)</f>
        <v>223</v>
      </c>
      <c r="E110" s="11" t="str">
        <f aca="false">IFERROR(__xludf.dummyfunction("IMPORTXML(getIdItems(""https://www.lustrof.ru/category/ofis/kanctovary/pismennye-i-chertezhnye-prinadlezhnosti/?page="",4),""//div[@class='products__item']/a/@href"")"),"/karandashi-chernografitnye-professionalnye-8h-8b-nabor-18-shtuk-brauberg-art-premiere-181893-181893/")</f>
        <v>/karandashi-chernografitnye-professionalnye-8h-8b-nabor-18-shtuk-brauberg-art-premiere-181893-181893/</v>
      </c>
    </row>
    <row r="111" customFormat="false" ht="15.75" hidden="false" customHeight="false" outlineLevel="0" collapsed="false">
      <c r="A111" s="11" t="n">
        <f aca="false">IFERROR(__xludf.dummyfunction("""COMPUTED_VALUE"""),375924)</f>
        <v>375924</v>
      </c>
      <c r="B111" s="11" t="str">
        <f aca="false">IFERROR(__xludf.dummyfunction("""COMPUTED_VALUE"""),"Карандаши чернографитные художественные 2H-8B, НАБОР 8 шт., В ПЕНАЛЕ, 
BRAUBERG ART ""PREMIERE"", 181894 181894")</f>
        <v>Карандаши чернографитные художественные 2H-8B, НАБОР 8 шт., В ПЕНАЛЕ, 
BRAUBERG ART "PREMIERE", 181894 181894</v>
      </c>
      <c r="C111" s="11" t="str">
        <f aca="false">IFERROR(__xludf.dummyfunction("""COMPUTED_VALUE"""),"В наличии 12994")</f>
        <v>В наличии 12994</v>
      </c>
      <c r="D111" s="11" t="n">
        <f aca="false">IFERROR(__xludf.dummyfunction("""COMPUTED_VALUE"""),180)</f>
        <v>180</v>
      </c>
      <c r="E111" s="11" t="str">
        <f aca="false">IFERROR(__xludf.dummyfunction("""COMPUTED_VALUE"""),"/karandashi-chernografitnye-hudozhestvennye-2h-8b-nabor-8-sht-v-penale-brauberg-art-premiere-181894-181894/")</f>
        <v>/karandashi-chernografitnye-hudozhestvennye-2h-8b-nabor-8-sht-v-penale-brauberg-art-premiere-181894-181894/</v>
      </c>
    </row>
    <row r="112" customFormat="false" ht="15.75" hidden="false" customHeight="false" outlineLevel="0" collapsed="false">
      <c r="A112" s="11" t="n">
        <f aca="false">IFERROR(__xludf.dummyfunction("""COMPUTED_VALUE"""),375925)</f>
        <v>375925</v>
      </c>
      <c r="B112" s="11" t="str">
        <f aca="false">IFERROR(__xludf.dummyfunction("""COMPUTED_VALUE"""),"Карандаши чернографитные художественные 4H-8B, НАБОР 12 шт., В ПЕНАЛЕ, 
BRAUBERG ART ""PREMIERE"", 181895 181895")</f>
        <v>Карандаши чернографитные художественные 4H-8B, НАБОР 12 шт., В ПЕНАЛЕ, 
BRAUBERG ART "PREMIERE", 181895 181895</v>
      </c>
      <c r="C112" s="11" t="str">
        <f aca="false">IFERROR(__xludf.dummyfunction("""COMPUTED_VALUE"""),"В наличии 4669")</f>
        <v>В наличии 4669</v>
      </c>
      <c r="D112" s="11" t="n">
        <f aca="false">IFERROR(__xludf.dummyfunction("""COMPUTED_VALUE"""),256)</f>
        <v>256</v>
      </c>
      <c r="E112" s="11" t="str">
        <f aca="false">IFERROR(__xludf.dummyfunction("""COMPUTED_VALUE"""),"/karandashi-chernografitnye-hudozhestvennye-4h-8b-nabor-12-sht-v-penale-brauberg-art-premiere-181895-181895/")</f>
        <v>/karandashi-chernografitnye-hudozhestvennye-4h-8b-nabor-12-sht-v-penale-brauberg-art-premiere-181895-181895/</v>
      </c>
    </row>
    <row r="113" customFormat="false" ht="15.75" hidden="false" customHeight="false" outlineLevel="0" collapsed="false">
      <c r="A113" s="11" t="n">
        <f aca="false">IFERROR(__xludf.dummyfunction("""COMPUTED_VALUE"""),202095)</f>
        <v>202095</v>
      </c>
      <c r="B113" s="11" t="str">
        <f aca="false">IFERROR(__xludf.dummyfunction("""COMPUTED_VALUE"""),"Картриджи чернильные PARKER ""Cartridge Quink"" (142386)")</f>
        <v>Картриджи чернильные PARKER "Cartridge Quink" (142386)</v>
      </c>
      <c r="C113" s="11" t="str">
        <f aca="false">IFERROR(__xludf.dummyfunction("""COMPUTED_VALUE"""),"В наличии 263")</f>
        <v>В наличии 263</v>
      </c>
      <c r="D113" s="11" t="n">
        <f aca="false">IFERROR(__xludf.dummyfunction("""COMPUTED_VALUE"""),330)</f>
        <v>330</v>
      </c>
      <c r="E113" s="11" t="str">
        <f aca="false">IFERROR(__xludf.dummyfunction("""COMPUTED_VALUE"""),"/kartridzhi-chernilnye-parker-cartridge-quink-142386-/")</f>
        <v>/kartridzhi-chernilnye-parker-cartridge-quink-142386-/</v>
      </c>
    </row>
    <row r="114" customFormat="false" ht="15.75" hidden="false" customHeight="false" outlineLevel="0" collapsed="false">
      <c r="A114" s="11" t="n">
        <f aca="false">IFERROR(__xludf.dummyfunction("""COMPUTED_VALUE"""),202096)</f>
        <v>202096</v>
      </c>
      <c r="B114" s="11" t="str">
        <f aca="false">IFERROR(__xludf.dummyfunction("""COMPUTED_VALUE"""),"Картриджи чернильные PARKER ""Cartridge Quink"" (142387)")</f>
        <v>Картриджи чернильные PARKER "Cartridge Quink" (142387)</v>
      </c>
      <c r="C114" s="11" t="str">
        <f aca="false">IFERROR(__xludf.dummyfunction("""COMPUTED_VALUE"""),"В наличии 928")</f>
        <v>В наличии 928</v>
      </c>
      <c r="D114" s="11" t="n">
        <f aca="false">IFERROR(__xludf.dummyfunction("""COMPUTED_VALUE"""),330)</f>
        <v>330</v>
      </c>
      <c r="E114" s="11" t="str">
        <f aca="false">IFERROR(__xludf.dummyfunction("""COMPUTED_VALUE"""),"/kartridzhi-chernilnye-parker-cartridge-quink-142387-/")</f>
        <v>/kartridzhi-chernilnye-parker-cartridge-quink-142387-/</v>
      </c>
    </row>
    <row r="115" customFormat="false" ht="15.75" hidden="false" customHeight="false" outlineLevel="0" collapsed="false">
      <c r="A115" s="11" t="n">
        <f aca="false">IFERROR(__xludf.dummyfunction("""COMPUTED_VALUE"""),202097)</f>
        <v>202097</v>
      </c>
      <c r="B115" s="11" t="str">
        <f aca="false">IFERROR(__xludf.dummyfunction("""COMPUTED_VALUE"""),"Картриджи чернильные PARKER ""Cartridge Quink"" (142388)")</f>
        <v>Картриджи чернильные PARKER "Cartridge Quink" (142388)</v>
      </c>
      <c r="C115" s="11" t="str">
        <f aca="false">IFERROR(__xludf.dummyfunction("""COMPUTED_VALUE"""),"В наличии 4199")</f>
        <v>В наличии 4199</v>
      </c>
      <c r="D115" s="11" t="n">
        <f aca="false">IFERROR(__xludf.dummyfunction("""COMPUTED_VALUE"""),330)</f>
        <v>330</v>
      </c>
      <c r="E115" s="11" t="str">
        <f aca="false">IFERROR(__xludf.dummyfunction("""COMPUTED_VALUE"""),"/kartridzhi-chernilnye-parker-cartridge-quink-142388-/")</f>
        <v>/kartridzhi-chernilnye-parker-cartridge-quink-142388-/</v>
      </c>
    </row>
    <row r="116" customFormat="false" ht="15.75" hidden="false" customHeight="false" outlineLevel="0" collapsed="false">
      <c r="A116" s="11" t="n">
        <f aca="false">IFERROR(__xludf.dummyfunction("""COMPUTED_VALUE"""),202098)</f>
        <v>202098</v>
      </c>
      <c r="B116" s="11" t="str">
        <f aca="false">IFERROR(__xludf.dummyfunction("""COMPUTED_VALUE"""),"Картриджи чернильные PARKER ""Cartridge Quink"" (142389)")</f>
        <v>Картриджи чернильные PARKER "Cartridge Quink" (142389)</v>
      </c>
      <c r="C116" s="11" t="str">
        <f aca="false">IFERROR(__xludf.dummyfunction("""COMPUTED_VALUE"""),"В наличии 147")</f>
        <v>В наличии 147</v>
      </c>
      <c r="D116" s="11" t="n">
        <f aca="false">IFERROR(__xludf.dummyfunction("""COMPUTED_VALUE"""),330)</f>
        <v>330</v>
      </c>
      <c r="E116" s="11" t="str">
        <f aca="false">IFERROR(__xludf.dummyfunction("""COMPUTED_VALUE"""),"/kartridzhi-chernilnye-parker-cartridge-quink-142389-/")</f>
        <v>/kartridzhi-chernilnye-parker-cartridge-quink-142389-/</v>
      </c>
    </row>
    <row r="117" customFormat="false" ht="15.75" hidden="false" customHeight="false" outlineLevel="0" collapsed="false">
      <c r="A117" s="11" t="n">
        <f aca="false">IFERROR(__xludf.dummyfunction("""COMPUTED_VALUE"""),202101)</f>
        <v>202101</v>
      </c>
      <c r="B117" s="11" t="str">
        <f aca="false">IFERROR(__xludf.dummyfunction("""COMPUTED_VALUE"""),"Картриджи чернильные PARKER Мини ""Cartridge Quink"" (142392)")</f>
        <v>Картриджи чернильные PARKER Мини "Cartridge Quink" (142392)</v>
      </c>
      <c r="C117" s="11" t="str">
        <f aca="false">IFERROR(__xludf.dummyfunction("""COMPUTED_VALUE"""),"В наличии 155")</f>
        <v>В наличии 155</v>
      </c>
      <c r="D117" s="11" t="n">
        <f aca="false">IFERROR(__xludf.dummyfunction("""COMPUTED_VALUE"""),279)</f>
        <v>279</v>
      </c>
      <c r="E117" s="11" t="str">
        <f aca="false">IFERROR(__xludf.dummyfunction("""COMPUTED_VALUE"""),"/kartridzhi-chernilnye-parker-mini-cartridge-quink-142392-/")</f>
        <v>/kartridzhi-chernilnye-parker-mini-cartridge-quink-142392-/</v>
      </c>
    </row>
    <row r="118" customFormat="false" ht="15.75" hidden="false" customHeight="false" outlineLevel="0" collapsed="false">
      <c r="A118" s="11" t="n">
        <f aca="false">IFERROR(__xludf.dummyfunction("""COMPUTED_VALUE"""),287527)</f>
        <v>287527</v>
      </c>
      <c r="B118" s="11" t="str">
        <f aca="false">IFERROR(__xludf.dummyfunction("""COMPUTED_VALUE"""),"Ластик электрический BRAUBERG ""ULTRA"", АККУМУЛЯТОР, зарядка USB, + 16 
сменных ластиков, 229609")</f>
        <v>Ластик электрический BRAUBERG "ULTRA", АККУМУЛЯТОР, зарядка USB, + 16 
сменных ластиков, 229609</v>
      </c>
      <c r="C118" s="11" t="str">
        <f aca="false">IFERROR(__xludf.dummyfunction("""COMPUTED_VALUE"""),"В наличии 593")</f>
        <v>В наличии 593</v>
      </c>
      <c r="D118" s="11" t="n">
        <f aca="false">IFERROR(__xludf.dummyfunction("""COMPUTED_VALUE"""),751)</f>
        <v>751</v>
      </c>
      <c r="E118" s="11" t="str">
        <f aca="false">IFERROR(__xludf.dummyfunction("""COMPUTED_VALUE"""),"/lastik-lektricheskij-brauberg-ultra-akkumulyator-zaryadka-usb-16-smennyh-lastikov-229609/")</f>
        <v>/lastik-lektricheskij-brauberg-ultra-akkumulyator-zaryadka-usb-16-smennyh-lastikov-229609/</v>
      </c>
    </row>
    <row r="119" customFormat="false" ht="15.75" hidden="false" customHeight="false" outlineLevel="0" collapsed="false">
      <c r="A119" s="11" t="n">
        <f aca="false">IFERROR(__xludf.dummyfunction("""COMPUTED_VALUE"""),319577)</f>
        <v>319577</v>
      </c>
      <c r="B119" s="11" t="str">
        <f aca="false">IFERROR(__xludf.dummyfunction("""COMPUTED_VALUE"""),"Ластик электрический BRAUBERG JET, питание от 2 батареек ААА, 8 сменных 
ластиков, салатовый, 229615 (229615)")</f>
        <v>Ластик электрический BRAUBERG JET, питание от 2 батареек ААА, 8 сменных 
ластиков, салатовый, 229615 (229615)</v>
      </c>
      <c r="C119" s="11" t="str">
        <f aca="false">IFERROR(__xludf.dummyfunction("""COMPUTED_VALUE"""),"В наличии 268")</f>
        <v>В наличии 268</v>
      </c>
      <c r="D119" s="11" t="n">
        <f aca="false">IFERROR(__xludf.dummyfunction("""COMPUTED_VALUE"""),263)</f>
        <v>263</v>
      </c>
      <c r="E119" s="11" t="str">
        <f aca="false">IFERROR(__xludf.dummyfunction("""COMPUTED_VALUE"""),"/lastik-lektricheskij-brauberg-jet-pitanie-ot-2-batareek-aaa-8-smennyh-lastikov-salatovyj-229615-229615-/")</f>
        <v>/lastik-lektricheskij-brauberg-jet-pitanie-ot-2-batareek-aaa-8-smennyh-lastikov-salatovyj-229615-229615-/</v>
      </c>
    </row>
    <row r="120" customFormat="false" ht="15.75" hidden="false" customHeight="false" outlineLevel="0" collapsed="false">
      <c r="A120" s="11" t="n">
        <f aca="false">IFERROR(__xludf.dummyfunction("""COMPUTED_VALUE"""),287518)</f>
        <v>287518</v>
      </c>
      <c r="B120" s="11" t="str">
        <f aca="false">IFERROR(__xludf.dummyfunction("""COMPUTED_VALUE"""),"Ластики BRAUBERG ""Pastel Soft"" НАБОР 12 шт., размер ластика 31х20х10 мм, 
экологичный ПВХ, 229598")</f>
        <v>Ластики BRAUBERG "Pastel Soft" НАБОР 12 шт., размер ластика 31х20х10 мм, 
экологичный ПВХ, 229598</v>
      </c>
      <c r="C120" s="11" t="str">
        <f aca="false">IFERROR(__xludf.dummyfunction("""COMPUTED_VALUE"""),"В наличии 30354")</f>
        <v>В наличии 30354</v>
      </c>
      <c r="D120" s="11" t="n">
        <f aca="false">IFERROR(__xludf.dummyfunction("""COMPUTED_VALUE"""),153)</f>
        <v>153</v>
      </c>
      <c r="E120" s="11" t="str">
        <f aca="false">IFERROR(__xludf.dummyfunction("""COMPUTED_VALUE"""),"/lastiki-brauberg-pastel-soft-nabor-12-sht-razmer-lastika-31h20h10-mm-kologichnyj-pvh-229598/")</f>
        <v>/lastiki-brauberg-pastel-soft-nabor-12-sht-razmer-lastika-31h20h10-mm-kologichnyj-pvh-229598/</v>
      </c>
    </row>
    <row r="121" customFormat="false" ht="15.75" hidden="false" customHeight="false" outlineLevel="0" collapsed="false">
      <c r="A121" s="11" t="n">
        <f aca="false">IFERROR(__xludf.dummyfunction("""COMPUTED_VALUE"""),206114)</f>
        <v>206114</v>
      </c>
      <c r="B121" s="11" t="str">
        <f aca="false">IFERROR(__xludf.dummyfunction("""COMPUTED_VALUE"""),"Линейка деревянная 100 см, для классной доски, с держателем, ПИФАГОР 
(210671)")</f>
        <v>Линейка деревянная 100 см, для классной доски, с держателем, ПИФАГОР 
(210671)</v>
      </c>
      <c r="C121" s="11" t="str">
        <f aca="false">IFERROR(__xludf.dummyfunction("""COMPUTED_VALUE"""),"В наличии 376")</f>
        <v>В наличии 376</v>
      </c>
      <c r="D121" s="11" t="n">
        <f aca="false">IFERROR(__xludf.dummyfunction("""COMPUTED_VALUE"""),351)</f>
        <v>351</v>
      </c>
      <c r="E121" s="11" t="str">
        <f aca="false">IFERROR(__xludf.dummyfunction("""COMPUTED_VALUE"""),"/linejka-derevyannaya-100-sm-dlya-klassnoj-doski-s-derzhatelem-pifagor-210671-/")</f>
        <v>/linejka-derevyannaya-100-sm-dlya-klassnoj-doski-s-derzhatelem-pifagor-210671-/</v>
      </c>
    </row>
    <row r="122" customFormat="false" ht="15.75" hidden="false" customHeight="false" outlineLevel="0" collapsed="false">
      <c r="A122" s="11" t="n">
        <f aca="false">IFERROR(__xludf.dummyfunction("""COMPUTED_VALUE"""),205823)</f>
        <v>205823</v>
      </c>
      <c r="B122" s="11" t="str">
        <f aca="false">IFERROR(__xludf.dummyfunction("""COMPUTED_VALUE"""),"Линейка с роликом (рейсшина) 30 см (210278)")</f>
        <v>Линейка с роликом (рейсшина) 30 см (210278)</v>
      </c>
      <c r="C122" s="11" t="str">
        <f aca="false">IFERROR(__xludf.dummyfunction("""COMPUTED_VALUE"""),"В наличии 1676")</f>
        <v>В наличии 1676</v>
      </c>
      <c r="D122" s="11" t="n">
        <f aca="false">IFERROR(__xludf.dummyfunction("""COMPUTED_VALUE"""),145)</f>
        <v>145</v>
      </c>
      <c r="E122" s="11" t="str">
        <f aca="false">IFERROR(__xludf.dummyfunction("""COMPUTED_VALUE"""),"/linejka-s-rolikom-rejsshina-30-sm-210278-/")</f>
        <v>/linejka-s-rolikom-rejsshina-30-sm-210278-/</v>
      </c>
    </row>
    <row r="123" customFormat="false" ht="15.75" hidden="false" customHeight="false" outlineLevel="0" collapsed="false">
      <c r="A123" s="11" t="n">
        <f aca="false">IFERROR(__xludf.dummyfunction("""COMPUTED_VALUE"""),205952)</f>
        <v>205952</v>
      </c>
      <c r="B123" s="11" t="str">
        <f aca="false">IFERROR(__xludf.dummyfunction("""COMPUTED_VALUE"""),"Линейка с роликом (рейсшина) 30 см (210481)")</f>
        <v>Линейка с роликом (рейсшина) 30 см (210481)</v>
      </c>
      <c r="C123" s="11" t="str">
        <f aca="false">IFERROR(__xludf.dummyfunction("""COMPUTED_VALUE"""),"В наличии 14")</f>
        <v>В наличии 14</v>
      </c>
      <c r="D123" s="11" t="n">
        <f aca="false">IFERROR(__xludf.dummyfunction("""COMPUTED_VALUE"""),218)</f>
        <v>218</v>
      </c>
      <c r="E123" s="11" t="str">
        <f aca="false">IFERROR(__xludf.dummyfunction("""COMPUTED_VALUE"""),"/linejka-s-rolikom-rejsshina-30-sm-210481-/")</f>
        <v>/linejka-s-rolikom-rejsshina-30-sm-210481-/</v>
      </c>
    </row>
    <row r="124" customFormat="false" ht="15.75" hidden="false" customHeight="false" outlineLevel="0" collapsed="false">
      <c r="A124" s="11" t="n">
        <f aca="false">IFERROR(__xludf.dummyfunction("""COMPUTED_VALUE"""),206093)</f>
        <v>206093</v>
      </c>
      <c r="B124" s="11" t="str">
        <f aca="false">IFERROR(__xludf.dummyfunction("""COMPUTED_VALUE"""),"Линейка с роликом (рейсшина) 30 см (210647)")</f>
        <v>Линейка с роликом (рейсшина) 30 см (210647)</v>
      </c>
      <c r="C124" s="11" t="str">
        <f aca="false">IFERROR(__xludf.dummyfunction("""COMPUTED_VALUE"""),"В наличии 1934")</f>
        <v>В наличии 1934</v>
      </c>
      <c r="D124" s="11" t="n">
        <f aca="false">IFERROR(__xludf.dummyfunction("""COMPUTED_VALUE"""),262)</f>
        <v>262</v>
      </c>
      <c r="E124" s="11" t="str">
        <f aca="false">IFERROR(__xludf.dummyfunction("""COMPUTED_VALUE"""),"/linejka-s-rolikom-rejsshina-30-sm-210647-/")</f>
        <v>/linejka-s-rolikom-rejsshina-30-sm-210647-/</v>
      </c>
    </row>
    <row r="125" customFormat="false" ht="15.75" hidden="false" customHeight="false" outlineLevel="0" collapsed="false">
      <c r="A125" s="11" t="n">
        <f aca="false">IFERROR(__xludf.dummyfunction("""COMPUTED_VALUE"""),203457)</f>
        <v>203457</v>
      </c>
      <c r="B125" s="11" t="str">
        <f aca="false">IFERROR(__xludf.dummyfunction("""COMPUTED_VALUE"""),"Маркер для затирки плиточных швов EDDING 8200 (151282)")</f>
        <v>Маркер для затирки плиточных швов EDDING 8200 (151282)</v>
      </c>
      <c r="C125" s="11" t="str">
        <f aca="false">IFERROR(__xludf.dummyfunction("""COMPUTED_VALUE"""),"В наличии 25")</f>
        <v>В наличии 25</v>
      </c>
      <c r="D125" s="11" t="n">
        <f aca="false">IFERROR(__xludf.dummyfunction("""COMPUTED_VALUE"""),725)</f>
        <v>725</v>
      </c>
      <c r="E125" s="11" t="str">
        <f aca="false">IFERROR(__xludf.dummyfunction("""COMPUTED_VALUE"""),"/marker-dlya-zatirki-plitochnyh-shvov-edding-8200-151282-/")</f>
        <v>/marker-dlya-zatirki-plitochnyh-shvov-edding-8200-151282-/</v>
      </c>
    </row>
    <row r="126" customFormat="false" ht="15.75" hidden="false" customHeight="false" outlineLevel="0" collapsed="false">
      <c r="A126" s="11" t="n">
        <f aca="false">IFERROR(__xludf.dummyfunction("""COMPUTED_VALUE"""),203453)</f>
        <v>203453</v>
      </c>
      <c r="B126" s="11" t="str">
        <f aca="false">IFERROR(__xludf.dummyfunction("""COMPUTED_VALUE"""),"Маркер для промышленной маркировки EDDING 8030 (151278)")</f>
        <v>Маркер для промышленной маркировки EDDING 8030 (151278)</v>
      </c>
      <c r="C126" s="11" t="str">
        <f aca="false">IFERROR(__xludf.dummyfunction("""COMPUTED_VALUE"""),"В наличии 114")</f>
        <v>В наличии 114</v>
      </c>
      <c r="D126" s="11" t="n">
        <f aca="false">IFERROR(__xludf.dummyfunction("""COMPUTED_VALUE"""),260)</f>
        <v>260</v>
      </c>
      <c r="E126" s="11" t="str">
        <f aca="false">IFERROR(__xludf.dummyfunction("""COMPUTED_VALUE"""),"/marker-dlya-promyshlennoj-markirovki-edding-8030-151278-/")</f>
        <v>/marker-dlya-promyshlennoj-markirovki-edding-8030-151278-/</v>
      </c>
    </row>
    <row r="127" customFormat="false" ht="15.75" hidden="false" customHeight="false" outlineLevel="0" collapsed="false">
      <c r="A127" s="11" t="n">
        <f aca="false">IFERROR(__xludf.dummyfunction("""COMPUTED_VALUE"""),203019)</f>
        <v>203019</v>
      </c>
      <c r="B127" s="11" t="str">
        <f aca="false">IFERROR(__xludf.dummyfunction("""COMPUTED_VALUE"""),"Маркер для рентгеновских пленок EDDING ""8010"" (150592)")</f>
        <v>Маркер для рентгеновских пленок EDDING "8010" (150592)</v>
      </c>
      <c r="C127" s="11" t="str">
        <f aca="false">IFERROR(__xludf.dummyfunction("""COMPUTED_VALUE"""),"В наличии 112")</f>
        <v>В наличии 112</v>
      </c>
      <c r="D127" s="11" t="n">
        <f aca="false">IFERROR(__xludf.dummyfunction("""COMPUTED_VALUE"""),573)</f>
        <v>573</v>
      </c>
      <c r="E127" s="11" t="str">
        <f aca="false">IFERROR(__xludf.dummyfunction("""COMPUTED_VALUE"""),"/marker-dlya-rentgenovskih-plenok-edding-8010-150592-/")</f>
        <v>/marker-dlya-rentgenovskih-plenok-edding-8010-150592-/</v>
      </c>
    </row>
    <row r="128" customFormat="false" ht="15.75" hidden="false" customHeight="false" outlineLevel="0" collapsed="false">
      <c r="A128" s="11" t="n">
        <f aca="false">IFERROR(__xludf.dummyfunction("""COMPUTED_VALUE"""),203445)</f>
        <v>203445</v>
      </c>
      <c r="B128" s="11" t="str">
        <f aca="false">IFERROR(__xludf.dummyfunction("""COMPUTED_VALUE"""),"Маркер для ткани EDDING 4500 (151270)")</f>
        <v>Маркер для ткани EDDING 4500 (151270)</v>
      </c>
      <c r="C128" s="11" t="str">
        <f aca="false">IFERROR(__xludf.dummyfunction("""COMPUTED_VALUE"""),"В наличии 16")</f>
        <v>В наличии 16</v>
      </c>
      <c r="D128" s="11" t="n">
        <f aca="false">IFERROR(__xludf.dummyfunction("""COMPUTED_VALUE"""),261)</f>
        <v>261</v>
      </c>
      <c r="E128" s="11" t="str">
        <f aca="false">IFERROR(__xludf.dummyfunction("""COMPUTED_VALUE"""),"/marker-dlya-tkani-edding-4500-151270-/")</f>
        <v>/marker-dlya-tkani-edding-4500-151270-/</v>
      </c>
    </row>
    <row r="129" customFormat="false" ht="15.75" hidden="false" customHeight="false" outlineLevel="0" collapsed="false">
      <c r="A129" s="11" t="n">
        <f aca="false">IFERROR(__xludf.dummyfunction("""COMPUTED_VALUE"""),203447)</f>
        <v>203447</v>
      </c>
      <c r="B129" s="11" t="str">
        <f aca="false">IFERROR(__xludf.dummyfunction("""COMPUTED_VALUE"""),"Маркер для ткани EDDING 4500 (151272)")</f>
        <v>Маркер для ткани EDDING 4500 (151272)</v>
      </c>
      <c r="C129" s="11" t="str">
        <f aca="false">IFERROR(__xludf.dummyfunction("""COMPUTED_VALUE"""),"В наличии 12")</f>
        <v>В наличии 12</v>
      </c>
      <c r="D129" s="11" t="n">
        <f aca="false">IFERROR(__xludf.dummyfunction("""COMPUTED_VALUE"""),121)</f>
        <v>121</v>
      </c>
      <c r="E129" s="11" t="str">
        <f aca="false">IFERROR(__xludf.dummyfunction("""COMPUTED_VALUE"""),"/marker-dlya-tkani-edding-4500-151272-/")</f>
        <v>/marker-dlya-tkani-edding-4500-151272-/</v>
      </c>
    </row>
    <row r="130" customFormat="false" ht="15.75" hidden="false" customHeight="false" outlineLevel="0" collapsed="false">
      <c r="A130" s="11" t="n">
        <f aca="false">IFERROR(__xludf.dummyfunction("""COMPUTED_VALUE"""),203448)</f>
        <v>203448</v>
      </c>
      <c r="B130" s="11" t="str">
        <f aca="false">IFERROR(__xludf.dummyfunction("""COMPUTED_VALUE"""),"Маркер для ткани EDDING 4500 (151273)")</f>
        <v>Маркер для ткани EDDING 4500 (151273)</v>
      </c>
      <c r="C130" s="11" t="str">
        <f aca="false">IFERROR(__xludf.dummyfunction("""COMPUTED_VALUE"""),"В наличии 10")</f>
        <v>В наличии 10</v>
      </c>
      <c r="D130" s="11" t="n">
        <f aca="false">IFERROR(__xludf.dummyfunction("""COMPUTED_VALUE"""),115)</f>
        <v>115</v>
      </c>
      <c r="E130" s="11" t="str">
        <f aca="false">IFERROR(__xludf.dummyfunction("""COMPUTED_VALUE"""),"/marker-dlya-tkani-edding-4500-151273-/")</f>
        <v>/marker-dlya-tkani-edding-4500-151273-/</v>
      </c>
    </row>
    <row r="131" customFormat="false" ht="15.75" hidden="false" customHeight="false" outlineLevel="0" collapsed="false">
      <c r="A131" s="11" t="n">
        <f aca="false">IFERROR(__xludf.dummyfunction("""COMPUTED_VALUE"""),203021)</f>
        <v>203021</v>
      </c>
      <c r="B131" s="11" t="str">
        <f aca="false">IFERROR(__xludf.dummyfunction("""COMPUTED_VALUE"""),"Маркер для шин и резины EDDING 8050 (150594)")</f>
        <v>Маркер для шин и резины EDDING 8050 (150594)</v>
      </c>
      <c r="C131" s="11" t="str">
        <f aca="false">IFERROR(__xludf.dummyfunction("""COMPUTED_VALUE"""),"В наличии 603")</f>
        <v>В наличии 603</v>
      </c>
      <c r="D131" s="11" t="n">
        <f aca="false">IFERROR(__xludf.dummyfunction("""COMPUTED_VALUE"""),573)</f>
        <v>573</v>
      </c>
      <c r="E131" s="11" t="str">
        <f aca="false">IFERROR(__xludf.dummyfunction("""COMPUTED_VALUE"""),"/marker-dlya-shin-i-reziny-edding-8050-150594-/")</f>
        <v>/marker-dlya-shin-i-reziny-edding-8050-150594-/</v>
      </c>
    </row>
    <row r="132" customFormat="false" ht="15.75" hidden="false" customHeight="false" outlineLevel="0" collapsed="false">
      <c r="A132" s="11" t="n">
        <f aca="false">IFERROR(__xludf.dummyfunction("""COMPUTED_VALUE"""),203460)</f>
        <v>203460</v>
      </c>
      <c r="B132" s="11" t="str">
        <f aca="false">IFERROR(__xludf.dummyfunction("""COMPUTED_VALUE"""),"Маркер лаковый для мебели EDDING 8900 (151285)")</f>
        <v>Маркер лаковый для мебели EDDING 8900 (151285)</v>
      </c>
      <c r="C132" s="11" t="str">
        <f aca="false">IFERROR(__xludf.dummyfunction("""COMPUTED_VALUE"""),"В наличии 123")</f>
        <v>В наличии 123</v>
      </c>
      <c r="D132" s="11" t="n">
        <f aca="false">IFERROR(__xludf.dummyfunction("""COMPUTED_VALUE"""),461)</f>
        <v>461</v>
      </c>
      <c r="E132" s="11" t="str">
        <f aca="false">IFERROR(__xludf.dummyfunction("""COMPUTED_VALUE"""),"/marker-lakovyj-dlya-mebeli-edding-8900-151285-/")</f>
        <v>/marker-lakovyj-dlya-mebeli-edding-8900-151285-/</v>
      </c>
    </row>
    <row r="133" customFormat="false" ht="15.75" hidden="false" customHeight="false" outlineLevel="0" collapsed="false">
      <c r="A133" s="11" t="n">
        <f aca="false">IFERROR(__xludf.dummyfunction("""COMPUTED_VALUE"""),203461)</f>
        <v>203461</v>
      </c>
      <c r="B133" s="11" t="str">
        <f aca="false">IFERROR(__xludf.dummyfunction("""COMPUTED_VALUE"""),"Маркер лаковый для мебели EDDING 8900 (151286)")</f>
        <v>Маркер лаковый для мебели EDDING 8900 (151286)</v>
      </c>
      <c r="C133" s="11" t="str">
        <f aca="false">IFERROR(__xludf.dummyfunction("""COMPUTED_VALUE"""),"В наличии 104")</f>
        <v>В наличии 104</v>
      </c>
      <c r="D133" s="11" t="n">
        <f aca="false">IFERROR(__xludf.dummyfunction("""COMPUTED_VALUE"""),461)</f>
        <v>461</v>
      </c>
      <c r="E133" s="11" t="str">
        <f aca="false">IFERROR(__xludf.dummyfunction("""COMPUTED_VALUE"""),"/marker-lakovyj-dlya-mebeli-edding-8900-151286-/")</f>
        <v>/marker-lakovyj-dlya-mebeli-edding-8900-151286-/</v>
      </c>
    </row>
    <row r="134" customFormat="false" ht="15.75" hidden="false" customHeight="false" outlineLevel="0" collapsed="false">
      <c r="A134" s="11" t="n">
        <f aca="false">IFERROR(__xludf.dummyfunction("""COMPUTED_VALUE"""),203466)</f>
        <v>203466</v>
      </c>
      <c r="B134" s="11" t="str">
        <f aca="false">IFERROR(__xludf.dummyfunction("""COMPUTED_VALUE"""),"Маркер лаковый для мебели EDDING 8900 (151291)")</f>
        <v>Маркер лаковый для мебели EDDING 8900 (151291)</v>
      </c>
      <c r="C134" s="11" t="str">
        <f aca="false">IFERROR(__xludf.dummyfunction("""COMPUTED_VALUE"""),"В наличии 8")</f>
        <v>В наличии 8</v>
      </c>
      <c r="D134" s="11" t="n">
        <f aca="false">IFERROR(__xludf.dummyfunction("""COMPUTED_VALUE"""),247)</f>
        <v>247</v>
      </c>
      <c r="E134" s="11" t="str">
        <f aca="false">IFERROR(__xludf.dummyfunction("""COMPUTED_VALUE"""),"/marker-lakovyj-dlya-mebeli-edding-8900-151291-/")</f>
        <v>/marker-lakovyj-dlya-mebeli-edding-8900-151291-/</v>
      </c>
    </row>
    <row r="135" customFormat="false" ht="15.75" hidden="false" customHeight="false" outlineLevel="0" collapsed="false">
      <c r="A135" s="11" t="n">
        <f aca="false">IFERROR(__xludf.dummyfunction("""COMPUTED_VALUE"""),235436)</f>
        <v>235436</v>
      </c>
      <c r="B135" s="11" t="str">
        <f aca="false">IFERROR(__xludf.dummyfunction("""COMPUTED_VALUE"""),"Маркер меловой BRAUBERG ""POP-ART"", сухостираемый, для гладких поверхностей, 
15 мм, БЕЛЫЙ, 151537")</f>
        <v>Маркер меловой BRAUBERG "POP-ART", сухостираемый, для гладких поверхностей, 
15 мм, БЕЛЫЙ, 151537</v>
      </c>
      <c r="C135" s="11" t="str">
        <f aca="false">IFERROR(__xludf.dummyfunction("""COMPUTED_VALUE"""),"В наличии 10393")</f>
        <v>В наличии 10393</v>
      </c>
      <c r="D135" s="11" t="n">
        <f aca="false">IFERROR(__xludf.dummyfunction("""COMPUTED_VALUE"""),296)</f>
        <v>296</v>
      </c>
      <c r="E135" s="11" t="str">
        <f aca="false">IFERROR(__xludf.dummyfunction("""COMPUTED_VALUE"""),"/marker-melovoj-brauberg-pop-art-suhostiraemyj-dlya-gladkih-poverhnostej-15-mm-belyj-151537/")</f>
        <v>/marker-melovoj-brauberg-pop-art-suhostiraemyj-dlya-gladkih-poverhnostej-15-mm-belyj-151537/</v>
      </c>
    </row>
    <row r="136" customFormat="false" ht="15.75" hidden="false" customHeight="false" outlineLevel="0" collapsed="false">
      <c r="A136" s="11" t="n">
        <f aca="false">IFERROR(__xludf.dummyfunction("""COMPUTED_VALUE"""),235437)</f>
        <v>235437</v>
      </c>
      <c r="B136" s="11" t="str">
        <f aca="false">IFERROR(__xludf.dummyfunction("""COMPUTED_VALUE"""),"Маркер меловой BRAUBERG ""POP-ART"", сухостираемый, для гладких поверхностей, 
15 мм, ЖЕЛТЫЙ, 151538")</f>
        <v>Маркер меловой BRAUBERG "POP-ART", сухостираемый, для гладких поверхностей, 
15 мм, ЖЕЛТЫЙ, 151538</v>
      </c>
      <c r="C136" s="11" t="str">
        <f aca="false">IFERROR(__xludf.dummyfunction("""COMPUTED_VALUE"""),"В наличии 448")</f>
        <v>В наличии 448</v>
      </c>
      <c r="D136" s="11" t="n">
        <f aca="false">IFERROR(__xludf.dummyfunction("""COMPUTED_VALUE"""),296)</f>
        <v>296</v>
      </c>
      <c r="E136" s="11" t="str">
        <f aca="false">IFERROR(__xludf.dummyfunction("""COMPUTED_VALUE"""),"/marker-melovoj-brauberg-pop-art-suhostiraemyj-dlya-gladkih-poverhnostej-15-mm-zheltyj-151538/")</f>
        <v>/marker-melovoj-brauberg-pop-art-suhostiraemyj-dlya-gladkih-poverhnostej-15-mm-zheltyj-151538/</v>
      </c>
    </row>
    <row r="137" customFormat="false" ht="15.75" hidden="false" customHeight="false" outlineLevel="0" collapsed="false">
      <c r="A137" s="11" t="n">
        <f aca="false">IFERROR(__xludf.dummyfunction("""COMPUTED_VALUE"""),235441)</f>
        <v>235441</v>
      </c>
      <c r="B137" s="11" t="str">
        <f aca="false">IFERROR(__xludf.dummyfunction("""COMPUTED_VALUE"""),"Маркер меловой BRAUBERG ""POP-ART"", сухостираемый, для гладких поверхностей, 
15 мм, ЗЕЛЕНЫЙ, 151542")</f>
        <v>Маркер меловой BRAUBERG "POP-ART", сухостираемый, для гладких поверхностей, 
15 мм, ЗЕЛЕНЫЙ, 151542</v>
      </c>
      <c r="C137" s="11" t="str">
        <f aca="false">IFERROR(__xludf.dummyfunction("""COMPUTED_VALUE"""),"В наличии 1415")</f>
        <v>В наличии 1415</v>
      </c>
      <c r="D137" s="11" t="n">
        <f aca="false">IFERROR(__xludf.dummyfunction("""COMPUTED_VALUE"""),296)</f>
        <v>296</v>
      </c>
      <c r="E137" s="11" t="str">
        <f aca="false">IFERROR(__xludf.dummyfunction("""COMPUTED_VALUE"""),"/marker-melovoj-brauberg-pop-art-suhostiraemyj-dlya-gladkih-poverhnostej-15-mm-zelenyj-151542/")</f>
        <v>/marker-melovoj-brauberg-pop-art-suhostiraemyj-dlya-gladkih-poverhnostej-15-mm-zelenyj-151542/</v>
      </c>
    </row>
    <row r="138" customFormat="false" ht="15.75" hidden="false" customHeight="false" outlineLevel="0" collapsed="false">
      <c r="A138" s="11" t="n">
        <f aca="false">IFERROR(__xludf.dummyfunction("""COMPUTED_VALUE"""),235440)</f>
        <v>235440</v>
      </c>
      <c r="B138" s="11" t="str">
        <f aca="false">IFERROR(__xludf.dummyfunction("""COMPUTED_VALUE"""),"Маркер меловой BRAUBERG ""POP-ART"", сухостираемый, для гладких поверхностей, 
15 мм, ОРАНЖЕВЫЙ, 151541")</f>
        <v>Маркер меловой BRAUBERG "POP-ART", сухостираемый, для гладких поверхностей, 
15 мм, ОРАНЖЕВЫЙ, 151541</v>
      </c>
      <c r="C138" s="11" t="str">
        <f aca="false">IFERROR(__xludf.dummyfunction("""COMPUTED_VALUE"""),"В наличии 49")</f>
        <v>В наличии 49</v>
      </c>
      <c r="D138" s="11" t="n">
        <f aca="false">IFERROR(__xludf.dummyfunction("""COMPUTED_VALUE"""),296)</f>
        <v>296</v>
      </c>
      <c r="E138" s="11" t="str">
        <f aca="false">IFERROR(__xludf.dummyfunction("""COMPUTED_VALUE"""),"/marker-melovoj-brauberg-pop-art-suhostiraemyj-dlya-gladkih-poverhnostej-15-mm-oranzhevyj-151541/")</f>
        <v>/marker-melovoj-brauberg-pop-art-suhostiraemyj-dlya-gladkih-poverhnostej-15-mm-oranzhevyj-151541/</v>
      </c>
    </row>
    <row r="139" customFormat="false" ht="15.75" hidden="false" customHeight="false" outlineLevel="0" collapsed="false">
      <c r="A139" s="11" t="n">
        <f aca="false">IFERROR(__xludf.dummyfunction("""COMPUTED_VALUE"""),235439)</f>
        <v>235439</v>
      </c>
      <c r="B139" s="11" t="str">
        <f aca="false">IFERROR(__xludf.dummyfunction("""COMPUTED_VALUE"""),"Маркер меловой BRAUBERG ""POP-ART"", сухостираемый, для гладких поверхностей, 
15 мм, РОЗОВЫЙ, 151540")</f>
        <v>Маркер меловой BRAUBERG "POP-ART", сухостираемый, для гладких поверхностей, 
15 мм, РОЗОВЫЙ, 151540</v>
      </c>
      <c r="C139" s="11" t="str">
        <f aca="false">IFERROR(__xludf.dummyfunction("""COMPUTED_VALUE"""),"В наличии 3688")</f>
        <v>В наличии 3688</v>
      </c>
      <c r="D139" s="11" t="n">
        <f aca="false">IFERROR(__xludf.dummyfunction("""COMPUTED_VALUE"""),296)</f>
        <v>296</v>
      </c>
      <c r="E139" s="11" t="str">
        <f aca="false">IFERROR(__xludf.dummyfunction("""COMPUTED_VALUE"""),"/marker-melovoj-brauberg-pop-art-suhostiraemyj-dlya-gladkih-poverhnostej-15-mm-rozovyj-151540/")</f>
        <v>/marker-melovoj-brauberg-pop-art-suhostiraemyj-dlya-gladkih-poverhnostej-15-mm-rozovyj-151540/</v>
      </c>
    </row>
    <row r="140" customFormat="false" ht="15.75" hidden="false" customHeight="false" outlineLevel="0" collapsed="false">
      <c r="A140" s="11" t="n">
        <f aca="false">IFERROR(__xludf.dummyfunction("""COMPUTED_VALUE"""),235443)</f>
        <v>235443</v>
      </c>
      <c r="B140" s="11" t="str">
        <f aca="false">IFERROR(__xludf.dummyfunction("""COMPUTED_VALUE"""),"Маркер меловой BRAUBERG ""POP-ART"", сухостираемый, для гладких поверхностей, 
15 мм, ЧЕРНЫЙ, 151544")</f>
        <v>Маркер меловой BRAUBERG "POP-ART", сухостираемый, для гладких поверхностей, 
15 мм, ЧЕРНЫЙ, 151544</v>
      </c>
      <c r="C140" s="11" t="str">
        <f aca="false">IFERROR(__xludf.dummyfunction("""COMPUTED_VALUE"""),"В наличии 143")</f>
        <v>В наличии 143</v>
      </c>
      <c r="D140" s="11" t="n">
        <f aca="false">IFERROR(__xludf.dummyfunction("""COMPUTED_VALUE"""),296)</f>
        <v>296</v>
      </c>
      <c r="E140" s="11" t="str">
        <f aca="false">IFERROR(__xludf.dummyfunction("""COMPUTED_VALUE"""),"/marker-melovoj-brauberg-pop-art-suhostiraemyj-dlya-gladkih-poverhnostej-15-mm-chernyj-151544/")</f>
        <v>/marker-melovoj-brauberg-pop-art-suhostiraemyj-dlya-gladkih-poverhnostej-15-mm-chernyj-151544/</v>
      </c>
    </row>
    <row r="141" customFormat="false" ht="15.75" hidden="false" customHeight="false" outlineLevel="0" collapsed="false">
      <c r="A141" s="11" t="n">
        <f aca="false">IFERROR(__xludf.dummyfunction("""COMPUTED_VALUE"""),203007)</f>
        <v>203007</v>
      </c>
      <c r="B141" s="11" t="str">
        <f aca="false">IFERROR(__xludf.dummyfunction("""COMPUTED_VALUE"""),"Маркер меловой EDDING ""4090"" (150580)")</f>
        <v>Маркер меловой EDDING "4090" (150580)</v>
      </c>
      <c r="C141" s="11" t="str">
        <f aca="false">IFERROR(__xludf.dummyfunction("""COMPUTED_VALUE"""),"В наличии 6")</f>
        <v>В наличии 6</v>
      </c>
      <c r="D141" s="11" t="n">
        <f aca="false">IFERROR(__xludf.dummyfunction("""COMPUTED_VALUE"""),886)</f>
        <v>886</v>
      </c>
      <c r="E141" s="11" t="str">
        <f aca="false">IFERROR(__xludf.dummyfunction("""COMPUTED_VALUE"""),"/marker-melovoj-edding-4090-150580-/")</f>
        <v>/marker-melovoj-edding-4090-150580-/</v>
      </c>
    </row>
    <row r="142" customFormat="false" ht="15.75" hidden="false" customHeight="false" outlineLevel="0" collapsed="false">
      <c r="A142" s="11" t="n">
        <f aca="false">IFERROR(__xludf.dummyfunction("""COMPUTED_VALUE"""),203009)</f>
        <v>203009</v>
      </c>
      <c r="B142" s="11" t="str">
        <f aca="false">IFERROR(__xludf.dummyfunction("""COMPUTED_VALUE"""),"Маркер меловой EDDING ""4095"" (150582)")</f>
        <v>Маркер меловой EDDING "4095" (150582)</v>
      </c>
      <c r="C142" s="11" t="str">
        <f aca="false">IFERROR(__xludf.dummyfunction("""COMPUTED_VALUE"""),"В наличии 183")</f>
        <v>В наличии 183</v>
      </c>
      <c r="D142" s="11" t="n">
        <f aca="false">IFERROR(__xludf.dummyfunction("""COMPUTED_VALUE"""),390)</f>
        <v>390</v>
      </c>
      <c r="E142" s="11" t="str">
        <f aca="false">IFERROR(__xludf.dummyfunction("""COMPUTED_VALUE"""),"/marker-melovoj-edding-4095-150582-/")</f>
        <v>/marker-melovoj-edding-4095-150582-/</v>
      </c>
    </row>
    <row r="143" customFormat="false" ht="15.75" hidden="false" customHeight="false" outlineLevel="0" collapsed="false">
      <c r="A143" s="11" t="n">
        <f aca="false">IFERROR(__xludf.dummyfunction("""COMPUTED_VALUE"""),203010)</f>
        <v>203010</v>
      </c>
      <c r="B143" s="11" t="str">
        <f aca="false">IFERROR(__xludf.dummyfunction("""COMPUTED_VALUE"""),"Маркер меловой EDDING ""4095"" (150583)")</f>
        <v>Маркер меловой EDDING "4095" (150583)</v>
      </c>
      <c r="C143" s="11" t="str">
        <f aca="false">IFERROR(__xludf.dummyfunction("""COMPUTED_VALUE"""),"В наличии 617")</f>
        <v>В наличии 617</v>
      </c>
      <c r="D143" s="11" t="n">
        <f aca="false">IFERROR(__xludf.dummyfunction("""COMPUTED_VALUE"""),390)</f>
        <v>390</v>
      </c>
      <c r="E143" s="11" t="str">
        <f aca="false">IFERROR(__xludf.dummyfunction("""COMPUTED_VALUE"""),"/marker-melovoj-edding-4095-150583-/")</f>
        <v>/marker-melovoj-edding-4095-150583-/</v>
      </c>
    </row>
    <row r="144" customFormat="false" ht="15.75" hidden="false" customHeight="false" outlineLevel="0" collapsed="false">
      <c r="A144" s="11" t="n">
        <f aca="false">IFERROR(__xludf.dummyfunction("""COMPUTED_VALUE"""),203504)</f>
        <v>203504</v>
      </c>
      <c r="B144" s="11" t="str">
        <f aca="false">IFERROR(__xludf.dummyfunction("""COMPUTED_VALUE"""),"Маркер меловой EDDING 4095 (151329)")</f>
        <v>Маркер меловой EDDING 4095 (151329)</v>
      </c>
      <c r="C144" s="11" t="str">
        <f aca="false">IFERROR(__xludf.dummyfunction("""COMPUTED_VALUE"""),"В наличии 63")</f>
        <v>В наличии 63</v>
      </c>
      <c r="D144" s="11" t="n">
        <f aca="false">IFERROR(__xludf.dummyfunction("""COMPUTED_VALUE"""),390)</f>
        <v>390</v>
      </c>
      <c r="E144" s="11" t="str">
        <f aca="false">IFERROR(__xludf.dummyfunction("""COMPUTED_VALUE"""),"/marker-melovoj-edding-4095-151329-/")</f>
        <v>/marker-melovoj-edding-4095-151329-/</v>
      </c>
    </row>
    <row r="145" customFormat="false" ht="15.75" hidden="false" customHeight="false" outlineLevel="0" collapsed="false">
      <c r="A145" s="11" t="n">
        <f aca="false">IFERROR(__xludf.dummyfunction("""COMPUTED_VALUE"""),203505)</f>
        <v>203505</v>
      </c>
      <c r="B145" s="11" t="str">
        <f aca="false">IFERROR(__xludf.dummyfunction("""COMPUTED_VALUE"""),"Маркер меловой EDDING 4095 (151330)")</f>
        <v>Маркер меловой EDDING 4095 (151330)</v>
      </c>
      <c r="C145" s="11" t="str">
        <f aca="false">IFERROR(__xludf.dummyfunction("""COMPUTED_VALUE"""),"В наличии 98")</f>
        <v>В наличии 98</v>
      </c>
      <c r="D145" s="11" t="n">
        <f aca="false">IFERROR(__xludf.dummyfunction("""COMPUTED_VALUE"""),391)</f>
        <v>391</v>
      </c>
      <c r="E145" s="11" t="str">
        <f aca="false">IFERROR(__xludf.dummyfunction("""COMPUTED_VALUE"""),"/marker-melovoj-edding-4095-151330-/")</f>
        <v>/marker-melovoj-edding-4095-151330-/</v>
      </c>
    </row>
    <row r="146" customFormat="false" ht="15.75" hidden="false" customHeight="false" outlineLevel="0" collapsed="false">
      <c r="A146" s="12" t="n">
        <f aca="false">IFERROR(__xludf.dummyfunction("IMPORTXML(getIdItems(""https://www.lustrof.ru/category/ofis/kanctovary/pismennye-i-chertezhnye-prinadlezhnosti/?page="",5),""//span[@class='products__item-info-code-v']"")"),203506)</f>
        <v>203506</v>
      </c>
      <c r="B146" s="13" t="str">
        <f aca="false">IFERROR(__xludf.dummyfunction("IMPORTXML(getIdItems(""https://www.lustrof.ru/category/ofis/kanctovary/pismennye-i-chertezhnye-prinadlezhnosti/?page="",5),""//span[@class='products__item-info-name']"")"),"Маркер меловой EDDING 4095 (151331)")</f>
        <v>Маркер меловой EDDING 4095 (151331)</v>
      </c>
      <c r="C146" s="11" t="str">
        <f aca="false">IFERROR(__xludf.dummyfunction("IMPORTXML(getIdItems(""https://www.lustrof.ru/category/ofis/kanctovary/pismennye-i-chertezhnye-prinadlezhnosti/?page="",5),""//span[@class='products__available-in-stock']"")"),"В наличии 90")</f>
        <v>В наличии 90</v>
      </c>
      <c r="D146" s="12" t="n">
        <f aca="false">IFERROR(__xludf.dummyfunction("IMPORTXML(getIdItems(""https://www.lustrof.ru/category/ofis/kanctovary/pismennye-i-chertezhnye-prinadlezhnosti/?page="",5),""//span[@class='products__price-new']/text()"")"),390)</f>
        <v>390</v>
      </c>
      <c r="E146" s="11" t="str">
        <f aca="false">IFERROR(__xludf.dummyfunction("IMPORTXML(getIdItems(""https://www.lustrof.ru/category/ofis/kanctovary/pismennye-i-chertezhnye-prinadlezhnosti/?page="",5),""//div[@class='products__item']/a/@href"")"),"/marker-melovoj-edding-4095-151331-/")</f>
        <v>/marker-melovoj-edding-4095-151331-/</v>
      </c>
    </row>
    <row r="147" customFormat="false" ht="15.75" hidden="false" customHeight="false" outlineLevel="0" collapsed="false">
      <c r="A147" s="11" t="n">
        <f aca="false">IFERROR(__xludf.dummyfunction("""COMPUTED_VALUE"""),203507)</f>
        <v>203507</v>
      </c>
      <c r="B147" s="11" t="str">
        <f aca="false">IFERROR(__xludf.dummyfunction("""COMPUTED_VALUE"""),"Маркер меловой EDDING 4095 (151332)")</f>
        <v>Маркер меловой EDDING 4095 (151332)</v>
      </c>
      <c r="C147" s="11" t="str">
        <f aca="false">IFERROR(__xludf.dummyfunction("""COMPUTED_VALUE"""),"В наличии 61")</f>
        <v>В наличии 61</v>
      </c>
      <c r="D147" s="11" t="n">
        <f aca="false">IFERROR(__xludf.dummyfunction("""COMPUTED_VALUE"""),390)</f>
        <v>390</v>
      </c>
      <c r="E147" s="11" t="str">
        <f aca="false">IFERROR(__xludf.dummyfunction("""COMPUTED_VALUE"""),"/marker-melovoj-edding-4095-151332-/")</f>
        <v>/marker-melovoj-edding-4095-151332-/</v>
      </c>
    </row>
    <row r="148" customFormat="false" ht="15.75" hidden="false" customHeight="false" outlineLevel="0" collapsed="false">
      <c r="A148" s="11" t="n">
        <f aca="false">IFERROR(__xludf.dummyfunction("""COMPUTED_VALUE"""),203510)</f>
        <v>203510</v>
      </c>
      <c r="B148" s="11" t="str">
        <f aca="false">IFERROR(__xludf.dummyfunction("""COMPUTED_VALUE"""),"Маркер меловой EDDING 4095 (151335)")</f>
        <v>Маркер меловой EDDING 4095 (151335)</v>
      </c>
      <c r="C148" s="11" t="str">
        <f aca="false">IFERROR(__xludf.dummyfunction("""COMPUTED_VALUE"""),"В наличии 56")</f>
        <v>В наличии 56</v>
      </c>
      <c r="D148" s="11" t="n">
        <f aca="false">IFERROR(__xludf.dummyfunction("""COMPUTED_VALUE"""),390)</f>
        <v>390</v>
      </c>
      <c r="E148" s="11" t="str">
        <f aca="false">IFERROR(__xludf.dummyfunction("""COMPUTED_VALUE"""),"/marker-melovoj-edding-4095-151335-/")</f>
        <v>/marker-melovoj-edding-4095-151335-/</v>
      </c>
    </row>
    <row r="149" customFormat="false" ht="15.75" hidden="false" customHeight="false" outlineLevel="0" collapsed="false">
      <c r="A149" s="11" t="n">
        <f aca="false">IFERROR(__xludf.dummyfunction("""COMPUTED_VALUE"""),203511)</f>
        <v>203511</v>
      </c>
      <c r="B149" s="11" t="str">
        <f aca="false">IFERROR(__xludf.dummyfunction("""COMPUTED_VALUE"""),"Маркер меловой EDDING 4095 (151336)")</f>
        <v>Маркер меловой EDDING 4095 (151336)</v>
      </c>
      <c r="C149" s="11" t="str">
        <f aca="false">IFERROR(__xludf.dummyfunction("""COMPUTED_VALUE"""),"В наличии 43")</f>
        <v>В наличии 43</v>
      </c>
      <c r="D149" s="11" t="n">
        <f aca="false">IFERROR(__xludf.dummyfunction("""COMPUTED_VALUE"""),390)</f>
        <v>390</v>
      </c>
      <c r="E149" s="11" t="str">
        <f aca="false">IFERROR(__xludf.dummyfunction("""COMPUTED_VALUE"""),"/marker-melovoj-edding-4095-151336-/")</f>
        <v>/marker-melovoj-edding-4095-151336-/</v>
      </c>
    </row>
    <row r="150" customFormat="false" ht="15.75" hidden="false" customHeight="false" outlineLevel="0" collapsed="false">
      <c r="A150" s="11" t="n">
        <f aca="false">IFERROR(__xludf.dummyfunction("""COMPUTED_VALUE"""),203512)</f>
        <v>203512</v>
      </c>
      <c r="B150" s="11" t="str">
        <f aca="false">IFERROR(__xludf.dummyfunction("""COMPUTED_VALUE"""),"Маркер меловой EDDING 4095 (151337)")</f>
        <v>Маркер меловой EDDING 4095 (151337)</v>
      </c>
      <c r="C150" s="11" t="str">
        <f aca="false">IFERROR(__xludf.dummyfunction("""COMPUTED_VALUE"""),"В наличии 46")</f>
        <v>В наличии 46</v>
      </c>
      <c r="D150" s="11" t="n">
        <f aca="false">IFERROR(__xludf.dummyfunction("""COMPUTED_VALUE"""),390)</f>
        <v>390</v>
      </c>
      <c r="E150" s="11" t="str">
        <f aca="false">IFERROR(__xludf.dummyfunction("""COMPUTED_VALUE"""),"/marker-melovoj-edding-4095-151337-/")</f>
        <v>/marker-melovoj-edding-4095-151337-/</v>
      </c>
    </row>
    <row r="151" customFormat="false" ht="15.75" hidden="false" customHeight="false" outlineLevel="0" collapsed="false">
      <c r="A151" s="11" t="n">
        <f aca="false">IFERROR(__xludf.dummyfunction("""COMPUTED_VALUE"""),202321)</f>
        <v>202321</v>
      </c>
      <c r="B151" s="11" t="str">
        <f aca="false">IFERROR(__xludf.dummyfunction("""COMPUTED_VALUE"""),"Маркер меловой UNI ""Chalk"" (142632)")</f>
        <v>Маркер меловой UNI "Chalk" (142632)</v>
      </c>
      <c r="C151" s="11" t="str">
        <f aca="false">IFERROR(__xludf.dummyfunction("""COMPUTED_VALUE"""),"В наличии 154")</f>
        <v>В наличии 154</v>
      </c>
      <c r="D151" s="11" t="n">
        <f aca="false">IFERROR(__xludf.dummyfunction("""COMPUTED_VALUE"""),383)</f>
        <v>383</v>
      </c>
      <c r="E151" s="11" t="str">
        <f aca="false">IFERROR(__xludf.dummyfunction("""COMPUTED_VALUE"""),"/marker-melovoj-uni-chalk-142632-/")</f>
        <v>/marker-melovoj-uni-chalk-142632-/</v>
      </c>
    </row>
    <row r="152" customFormat="false" ht="15.75" hidden="false" customHeight="false" outlineLevel="0" collapsed="false">
      <c r="A152" s="11" t="n">
        <f aca="false">IFERROR(__xludf.dummyfunction("""COMPUTED_VALUE"""),202324)</f>
        <v>202324</v>
      </c>
      <c r="B152" s="11" t="str">
        <f aca="false">IFERROR(__xludf.dummyfunction("""COMPUTED_VALUE"""),"Маркер меловой UNI ""Chalk"" (142636)")</f>
        <v>Маркер меловой UNI "Chalk" (142636)</v>
      </c>
      <c r="C152" s="11" t="str">
        <f aca="false">IFERROR(__xludf.dummyfunction("""COMPUTED_VALUE"""),"В наличии 504")</f>
        <v>В наличии 504</v>
      </c>
      <c r="D152" s="11" t="n">
        <f aca="false">IFERROR(__xludf.dummyfunction("""COMPUTED_VALUE"""),387)</f>
        <v>387</v>
      </c>
      <c r="E152" s="11" t="str">
        <f aca="false">IFERROR(__xludf.dummyfunction("""COMPUTED_VALUE"""),"/marker-melovoj-uni-chalk-142636-/")</f>
        <v>/marker-melovoj-uni-chalk-142636-/</v>
      </c>
    </row>
    <row r="153" customFormat="false" ht="15.75" hidden="false" customHeight="false" outlineLevel="0" collapsed="false">
      <c r="A153" s="11" t="n">
        <f aca="false">IFERROR(__xludf.dummyfunction("""COMPUTED_VALUE"""),202325)</f>
        <v>202325</v>
      </c>
      <c r="B153" s="11" t="str">
        <f aca="false">IFERROR(__xludf.dummyfunction("""COMPUTED_VALUE"""),"Маркер меловой UNI ""Chalk"" (142637)")</f>
        <v>Маркер меловой UNI "Chalk" (142637)</v>
      </c>
      <c r="C153" s="11" t="str">
        <f aca="false">IFERROR(__xludf.dummyfunction("""COMPUTED_VALUE"""),"В наличии 479")</f>
        <v>В наличии 479</v>
      </c>
      <c r="D153" s="11" t="n">
        <f aca="false">IFERROR(__xludf.dummyfunction("""COMPUTED_VALUE"""),387)</f>
        <v>387</v>
      </c>
      <c r="E153" s="11" t="str">
        <f aca="false">IFERROR(__xludf.dummyfunction("""COMPUTED_VALUE"""),"/marker-melovoj-uni-chalk-142637-/")</f>
        <v>/marker-melovoj-uni-chalk-142637-/</v>
      </c>
    </row>
    <row r="154" customFormat="false" ht="15.75" hidden="false" customHeight="false" outlineLevel="0" collapsed="false">
      <c r="A154" s="11" t="n">
        <f aca="false">IFERROR(__xludf.dummyfunction("""COMPUTED_VALUE"""),202326)</f>
        <v>202326</v>
      </c>
      <c r="B154" s="11" t="str">
        <f aca="false">IFERROR(__xludf.dummyfunction("""COMPUTED_VALUE"""),"Маркер меловой UNI ""Chalk"" (142638)")</f>
        <v>Маркер меловой UNI "Chalk" (142638)</v>
      </c>
      <c r="C154" s="11" t="str">
        <f aca="false">IFERROR(__xludf.dummyfunction("""COMPUTED_VALUE"""),"В наличии 120")</f>
        <v>В наличии 120</v>
      </c>
      <c r="D154" s="11" t="n">
        <f aca="false">IFERROR(__xludf.dummyfunction("""COMPUTED_VALUE"""),383)</f>
        <v>383</v>
      </c>
      <c r="E154" s="11" t="str">
        <f aca="false">IFERROR(__xludf.dummyfunction("""COMPUTED_VALUE"""),"/marker-melovoj-uni-chalk-142638-/")</f>
        <v>/marker-melovoj-uni-chalk-142638-/</v>
      </c>
    </row>
    <row r="155" customFormat="false" ht="15.75" hidden="false" customHeight="false" outlineLevel="0" collapsed="false">
      <c r="A155" s="11" t="n">
        <f aca="false">IFERROR(__xludf.dummyfunction("""COMPUTED_VALUE"""),202327)</f>
        <v>202327</v>
      </c>
      <c r="B155" s="11" t="str">
        <f aca="false">IFERROR(__xludf.dummyfunction("""COMPUTED_VALUE"""),"Маркер меловой UNI ""Chalk"" (142639)")</f>
        <v>Маркер меловой UNI "Chalk" (142639)</v>
      </c>
      <c r="C155" s="11" t="str">
        <f aca="false">IFERROR(__xludf.dummyfunction("""COMPUTED_VALUE"""),"В наличии 528")</f>
        <v>В наличии 528</v>
      </c>
      <c r="D155" s="11" t="n">
        <f aca="false">IFERROR(__xludf.dummyfunction("""COMPUTED_VALUE"""),387)</f>
        <v>387</v>
      </c>
      <c r="E155" s="11" t="str">
        <f aca="false">IFERROR(__xludf.dummyfunction("""COMPUTED_VALUE"""),"/marker-melovoj-uni-chalk-142639-/")</f>
        <v>/marker-melovoj-uni-chalk-142639-/</v>
      </c>
    </row>
    <row r="156" customFormat="false" ht="15.75" hidden="false" customHeight="false" outlineLevel="0" collapsed="false">
      <c r="A156" s="11" t="n">
        <f aca="false">IFERROR(__xludf.dummyfunction("""COMPUTED_VALUE"""),202329)</f>
        <v>202329</v>
      </c>
      <c r="B156" s="11" t="str">
        <f aca="false">IFERROR(__xludf.dummyfunction("""COMPUTED_VALUE"""),"Маркер меловой UNI ""Chalk"" (142641)")</f>
        <v>Маркер меловой UNI "Chalk" (142641)</v>
      </c>
      <c r="C156" s="11" t="str">
        <f aca="false">IFERROR(__xludf.dummyfunction("""COMPUTED_VALUE"""),"В наличии 176")</f>
        <v>В наличии 176</v>
      </c>
      <c r="D156" s="11" t="n">
        <f aca="false">IFERROR(__xludf.dummyfunction("""COMPUTED_VALUE"""),387)</f>
        <v>387</v>
      </c>
      <c r="E156" s="11" t="str">
        <f aca="false">IFERROR(__xludf.dummyfunction("""COMPUTED_VALUE"""),"/marker-melovoj-uni-chalk-142641-/")</f>
        <v>/marker-melovoj-uni-chalk-142641-/</v>
      </c>
    </row>
    <row r="157" customFormat="false" ht="15.75" hidden="false" customHeight="false" outlineLevel="0" collapsed="false">
      <c r="A157" s="11" t="n">
        <f aca="false">IFERROR(__xludf.dummyfunction("""COMPUTED_VALUE"""),202331)</f>
        <v>202331</v>
      </c>
      <c r="B157" s="11" t="str">
        <f aca="false">IFERROR(__xludf.dummyfunction("""COMPUTED_VALUE"""),"Маркер меловой UNI ""Chalk"" (142643)")</f>
        <v>Маркер меловой UNI "Chalk" (142643)</v>
      </c>
      <c r="C157" s="11" t="str">
        <f aca="false">IFERROR(__xludf.dummyfunction("""COMPUTED_VALUE"""),"В наличии 175")</f>
        <v>В наличии 175</v>
      </c>
      <c r="D157" s="11" t="n">
        <f aca="false">IFERROR(__xludf.dummyfunction("""COMPUTED_VALUE"""),387)</f>
        <v>387</v>
      </c>
      <c r="E157" s="11" t="str">
        <f aca="false">IFERROR(__xludf.dummyfunction("""COMPUTED_VALUE"""),"/marker-melovoj-uni-chalk-142643-/")</f>
        <v>/marker-melovoj-uni-chalk-142643-/</v>
      </c>
    </row>
    <row r="158" customFormat="false" ht="15.75" hidden="false" customHeight="false" outlineLevel="0" collapsed="false">
      <c r="A158" s="11" t="n">
        <f aca="false">IFERROR(__xludf.dummyfunction("""COMPUTED_VALUE"""),203091)</f>
        <v>203091</v>
      </c>
      <c r="B158" s="11" t="str">
        <f aca="false">IFERROR(__xludf.dummyfunction("""COMPUTED_VALUE"""),"Маркер перманентный (нестираемый) EDDING 390 (150725)")</f>
        <v>Маркер перманентный (нестираемый) EDDING 390 (150725)</v>
      </c>
      <c r="C158" s="11" t="str">
        <f aca="false">IFERROR(__xludf.dummyfunction("""COMPUTED_VALUE"""),"В наличии 270")</f>
        <v>В наличии 270</v>
      </c>
      <c r="D158" s="11" t="n">
        <f aca="false">IFERROR(__xludf.dummyfunction("""COMPUTED_VALUE"""),466)</f>
        <v>466</v>
      </c>
      <c r="E158" s="11" t="str">
        <f aca="false">IFERROR(__xludf.dummyfunction("""COMPUTED_VALUE"""),"/marker-permanentnyj-nestiraemyj-edding-390-150725-/")</f>
        <v>/marker-permanentnyj-nestiraemyj-edding-390-150725-/</v>
      </c>
    </row>
    <row r="159" customFormat="false" ht="15.75" hidden="false" customHeight="false" outlineLevel="0" collapsed="false">
      <c r="A159" s="11" t="n">
        <f aca="false">IFERROR(__xludf.dummyfunction("""COMPUTED_VALUE"""),203439)</f>
        <v>203439</v>
      </c>
      <c r="B159" s="11" t="str">
        <f aca="false">IFERROR(__xludf.dummyfunction("""COMPUTED_VALUE"""),"Маркер перманентный (нестираемый) EDDING 400 (151264)")</f>
        <v>Маркер перманентный (нестираемый) EDDING 400 (151264)</v>
      </c>
      <c r="C159" s="11" t="str">
        <f aca="false">IFERROR(__xludf.dummyfunction("""COMPUTED_VALUE"""),"В наличии 4")</f>
        <v>В наличии 4</v>
      </c>
      <c r="D159" s="11" t="n">
        <f aca="false">IFERROR(__xludf.dummyfunction("""COMPUTED_VALUE"""),242)</f>
        <v>242</v>
      </c>
      <c r="E159" s="11" t="str">
        <f aca="false">IFERROR(__xludf.dummyfunction("""COMPUTED_VALUE"""),"/marker-permanentnyj-nestiraemyj-edding-400-151264-/")</f>
        <v>/marker-permanentnyj-nestiraemyj-edding-400-151264-/</v>
      </c>
    </row>
    <row r="160" customFormat="false" ht="15.75" hidden="false" customHeight="false" outlineLevel="0" collapsed="false">
      <c r="A160" s="11" t="n">
        <f aca="false">IFERROR(__xludf.dummyfunction("""COMPUTED_VALUE"""),203276)</f>
        <v>203276</v>
      </c>
      <c r="B160" s="11" t="str">
        <f aca="false">IFERROR(__xludf.dummyfunction("""COMPUTED_VALUE"""),"Маркер перманентный (нестираемый) STAEDTLER (Германия) ""Lumocolor"" (151031)")</f>
        <v>Маркер перманентный (нестираемый) STAEDTLER (Германия) "Lumocolor" (151031)</v>
      </c>
      <c r="C160" s="11" t="str">
        <f aca="false">IFERROR(__xludf.dummyfunction("""COMPUTED_VALUE"""),"В наличии 13")</f>
        <v>В наличии 13</v>
      </c>
      <c r="D160" s="11" t="n">
        <f aca="false">IFERROR(__xludf.dummyfunction("""COMPUTED_VALUE"""),185)</f>
        <v>185</v>
      </c>
      <c r="E160" s="11" t="str">
        <f aca="false">IFERROR(__xludf.dummyfunction("""COMPUTED_VALUE"""),"/marker-permanentnyj-nestiraemyj-staedtler-germaniya-lumocolor-151031-/")</f>
        <v>/marker-permanentnyj-nestiraemyj-staedtler-germaniya-lumocolor-151031-/</v>
      </c>
    </row>
    <row r="161" customFormat="false" ht="15.75" hidden="false" customHeight="false" outlineLevel="0" collapsed="false">
      <c r="A161" s="11" t="n">
        <f aca="false">IFERROR(__xludf.dummyfunction("""COMPUTED_VALUE"""),203657)</f>
        <v>203657</v>
      </c>
      <c r="B161" s="11" t="str">
        <f aca="false">IFERROR(__xludf.dummyfunction("""COMPUTED_VALUE"""),"Маркер перманентный (нестираемый) БИЗНЕСМЕНЮ (151518)")</f>
        <v>Маркер перманентный (нестираемый) БИЗНЕСМЕНЮ (151518)</v>
      </c>
      <c r="C161" s="11" t="str">
        <f aca="false">IFERROR(__xludf.dummyfunction("""COMPUTED_VALUE"""),"В наличии 442")</f>
        <v>В наличии 442</v>
      </c>
      <c r="D161" s="11" t="n">
        <f aca="false">IFERROR(__xludf.dummyfunction("""COMPUTED_VALUE"""),13)</f>
        <v>13</v>
      </c>
      <c r="E161" s="11" t="str">
        <f aca="false">IFERROR(__xludf.dummyfunction("""COMPUTED_VALUE"""),"/marker-permanentnyj-nestiraemyj-biznesmenyu-151518-/")</f>
        <v>/marker-permanentnyj-nestiraemyj-biznesmenyu-151518-/</v>
      </c>
    </row>
    <row r="162" customFormat="false" ht="15.75" hidden="false" customHeight="false" outlineLevel="0" collapsed="false">
      <c r="A162" s="11" t="n">
        <f aca="false">IFERROR(__xludf.dummyfunction("""COMPUTED_VALUE"""),288180)</f>
        <v>288180</v>
      </c>
      <c r="B162" s="11" t="str">
        <f aca="false">IFERROR(__xludf.dummyfunction("""COMPUTED_VALUE"""),"Маркер перманентный CENTROPEN 8516, КРАСНЫЙ, скошенный наконечник, 2-5 мм, 
5 8516 0104")</f>
        <v>Маркер перманентный CENTROPEN 8516, КРАСНЫЙ, скошенный наконечник, 2-5 мм, 
5 8516 0104</v>
      </c>
      <c r="C162" s="11" t="str">
        <f aca="false">IFERROR(__xludf.dummyfunction("""COMPUTED_VALUE"""),"В наличии 72")</f>
        <v>В наличии 72</v>
      </c>
      <c r="D162" s="11" t="n">
        <f aca="false">IFERROR(__xludf.dummyfunction("""COMPUTED_VALUE"""),25)</f>
        <v>25</v>
      </c>
      <c r="E162" s="11" t="str">
        <f aca="false">IFERROR(__xludf.dummyfunction("""COMPUTED_VALUE"""),"/marker-permanentnyj-centropen-8516-krasnyj-skoshennyj-nakonechnik-2-5-mm-5-8516-0104/")</f>
        <v>/marker-permanentnyj-centropen-8516-krasnyj-skoshennyj-nakonechnik-2-5-mm-5-8516-0104/</v>
      </c>
    </row>
    <row r="163" customFormat="false" ht="15.75" hidden="false" customHeight="false" outlineLevel="0" collapsed="false">
      <c r="A163" s="11" t="n">
        <f aca="false">IFERROR(__xludf.dummyfunction("""COMPUTED_VALUE"""),288188)</f>
        <v>288188</v>
      </c>
      <c r="B163" s="11" t="str">
        <f aca="false">IFERROR(__xludf.dummyfunction("""COMPUTED_VALUE"""),"Маркер перманентный БЕЛЫЙ CENTROPEN, круглый наконечник, 2,5 мм, блистер, 
8586, 5 8586 6000")</f>
        <v>Маркер перманентный БЕЛЫЙ CENTROPEN, круглый наконечник, 2,5 мм, блистер, 
8586, 5 8586 6000</v>
      </c>
      <c r="C163" s="11" t="str">
        <f aca="false">IFERROR(__xludf.dummyfunction("""COMPUTED_VALUE"""),"В наличии 1897")</f>
        <v>В наличии 1897</v>
      </c>
      <c r="D163" s="11" t="n">
        <f aca="false">IFERROR(__xludf.dummyfunction("""COMPUTED_VALUE"""),149)</f>
        <v>149</v>
      </c>
      <c r="E163" s="11" t="str">
        <f aca="false">IFERROR(__xludf.dummyfunction("""COMPUTED_VALUE"""),"/marker-permanentnyj-belyj-centropen-kruglyj-nakonechnik-2-5-mm-blister-8586-5-8586-6000/")</f>
        <v>/marker-permanentnyj-belyj-centropen-kruglyj-nakonechnik-2-5-mm-blister-8586-5-8586-6000/</v>
      </c>
    </row>
    <row r="164" customFormat="false" ht="15.75" hidden="false" customHeight="false" outlineLevel="0" collapsed="false">
      <c r="A164" s="11" t="n">
        <f aca="false">IFERROR(__xludf.dummyfunction("""COMPUTED_VALUE"""),203253)</f>
        <v>203253</v>
      </c>
      <c r="B164" s="11" t="str">
        <f aca="false">IFERROR(__xludf.dummyfunction("""COMPUTED_VALUE"""),"Маркер перманентный специальный для стекла STAEDTLER (Германия) (150996)")</f>
        <v>Маркер перманентный специальный для стекла STAEDTLER (Германия) (150996)</v>
      </c>
      <c r="C164" s="11" t="str">
        <f aca="false">IFERROR(__xludf.dummyfunction("""COMPUTED_VALUE"""),"В наличии 6")</f>
        <v>В наличии 6</v>
      </c>
      <c r="D164" s="11" t="n">
        <f aca="false">IFERROR(__xludf.dummyfunction("""COMPUTED_VALUE"""),129)</f>
        <v>129</v>
      </c>
      <c r="E164" s="11" t="str">
        <f aca="false">IFERROR(__xludf.dummyfunction("""COMPUTED_VALUE"""),"/marker-permanentnyj-specialnyj-dlya-stekla-staedtler-germaniya-150996-/")</f>
        <v>/marker-permanentnyj-specialnyj-dlya-stekla-staedtler-germaniya-150996-/</v>
      </c>
    </row>
    <row r="165" customFormat="false" ht="15.75" hidden="false" customHeight="false" outlineLevel="0" collapsed="false">
      <c r="A165" s="11" t="n">
        <f aca="false">IFERROR(__xludf.dummyfunction("""COMPUTED_VALUE"""),203022)</f>
        <v>203022</v>
      </c>
      <c r="B165" s="11" t="str">
        <f aca="false">IFERROR(__xludf.dummyfunction("""COMPUTED_VALUE"""),"Маркер ультрафиолетовый EDDING 8280 (150595)")</f>
        <v>Маркер ультрафиолетовый EDDING 8280 (150595)</v>
      </c>
      <c r="C165" s="11" t="str">
        <f aca="false">IFERROR(__xludf.dummyfunction("""COMPUTED_VALUE"""),"В наличии 268")</f>
        <v>В наличии 268</v>
      </c>
      <c r="D165" s="11" t="n">
        <f aca="false">IFERROR(__xludf.dummyfunction("""COMPUTED_VALUE"""),456)</f>
        <v>456</v>
      </c>
      <c r="E165" s="11" t="str">
        <f aca="false">IFERROR(__xludf.dummyfunction("""COMPUTED_VALUE"""),"/marker-ultrafioletovyj-edding-8280-150595-/")</f>
        <v>/marker-ultrafioletovyj-edding-8280-150595-/</v>
      </c>
    </row>
    <row r="166" customFormat="false" ht="15.75" hidden="false" customHeight="false" outlineLevel="0" collapsed="false">
      <c r="A166" s="11" t="n">
        <f aca="false">IFERROR(__xludf.dummyfunction("""COMPUTED_VALUE"""),203600)</f>
        <v>203600</v>
      </c>
      <c r="B166" s="11" t="str">
        <f aca="false">IFERROR(__xludf.dummyfunction("""COMPUTED_VALUE"""),"Маркер-краска лаковый (paint marker) 8 мм (151454)")</f>
        <v>Маркер-краска лаковый (paint marker) 8 мм (151454)</v>
      </c>
      <c r="C166" s="11" t="str">
        <f aca="false">IFERROR(__xludf.dummyfunction("""COMPUTED_VALUE"""),"В наличии 2480")</f>
        <v>В наличии 2480</v>
      </c>
      <c r="D166" s="11" t="n">
        <f aca="false">IFERROR(__xludf.dummyfunction("""COMPUTED_VALUE"""),261)</f>
        <v>261</v>
      </c>
      <c r="E166" s="11" t="str">
        <f aca="false">IFERROR(__xludf.dummyfunction("""COMPUTED_VALUE"""),"/marker-kraska-lakovyj-paint-marker-8-mm-151454-/")</f>
        <v>/marker-kraska-lakovyj-paint-marker-8-mm-151454-/</v>
      </c>
    </row>
    <row r="167" customFormat="false" ht="15.75" hidden="false" customHeight="false" outlineLevel="0" collapsed="false">
      <c r="A167" s="11" t="n">
        <f aca="false">IFERROR(__xludf.dummyfunction("""COMPUTED_VALUE"""),203601)</f>
        <v>203601</v>
      </c>
      <c r="B167" s="11" t="str">
        <f aca="false">IFERROR(__xludf.dummyfunction("""COMPUTED_VALUE"""),"Маркер-краска лаковый (paint marker) 8 мм (151455)")</f>
        <v>Маркер-краска лаковый (paint marker) 8 мм (151455)</v>
      </c>
      <c r="C167" s="11" t="str">
        <f aca="false">IFERROR(__xludf.dummyfunction("""COMPUTED_VALUE"""),"В наличии 1198")</f>
        <v>В наличии 1198</v>
      </c>
      <c r="D167" s="11" t="n">
        <f aca="false">IFERROR(__xludf.dummyfunction("""COMPUTED_VALUE"""),261)</f>
        <v>261</v>
      </c>
      <c r="E167" s="11" t="str">
        <f aca="false">IFERROR(__xludf.dummyfunction("""COMPUTED_VALUE"""),"/marker-kraska-lakovyj-paint-marker-8-mm-151455-/")</f>
        <v>/marker-kraska-lakovyj-paint-marker-8-mm-151455-/</v>
      </c>
    </row>
    <row r="168" customFormat="false" ht="15.75" hidden="false" customHeight="false" outlineLevel="0" collapsed="false">
      <c r="A168" s="11" t="n">
        <f aca="false">IFERROR(__xludf.dummyfunction("""COMPUTED_VALUE"""),203025)</f>
        <v>203025</v>
      </c>
      <c r="B168" s="11" t="str">
        <f aca="false">IFERROR(__xludf.dummyfunction("""COMPUTED_VALUE"""),"Маркер-краска лаковый (paint marker) EDDING ""8750"" (150598)")</f>
        <v>Маркер-краска лаковый (paint marker) EDDING "8750" (150598)</v>
      </c>
      <c r="C168" s="11" t="str">
        <f aca="false">IFERROR(__xludf.dummyfunction("""COMPUTED_VALUE"""),"В наличии 299")</f>
        <v>В наличии 299</v>
      </c>
      <c r="D168" s="11" t="n">
        <f aca="false">IFERROR(__xludf.dummyfunction("""COMPUTED_VALUE"""),543)</f>
        <v>543</v>
      </c>
      <c r="E168" s="11" t="str">
        <f aca="false">IFERROR(__xludf.dummyfunction("""COMPUTED_VALUE"""),"/marker-kraska-lakovyj-paint-marker-edding-8750-150598-/")</f>
        <v>/marker-kraska-lakovyj-paint-marker-edding-8750-150598-/</v>
      </c>
    </row>
    <row r="169" customFormat="false" ht="15.75" hidden="false" customHeight="false" outlineLevel="0" collapsed="false">
      <c r="A169" s="11" t="n">
        <f aca="false">IFERROR(__xludf.dummyfunction("""COMPUTED_VALUE"""),203026)</f>
        <v>203026</v>
      </c>
      <c r="B169" s="11" t="str">
        <f aca="false">IFERROR(__xludf.dummyfunction("""COMPUTED_VALUE"""),"Маркер-краска лаковый (paint marker) EDDING ""8750"" (150599)")</f>
        <v>Маркер-краска лаковый (paint marker) EDDING "8750" (150599)</v>
      </c>
      <c r="C169" s="11" t="str">
        <f aca="false">IFERROR(__xludf.dummyfunction("""COMPUTED_VALUE"""),"В наличии 6634")</f>
        <v>В наличии 6634</v>
      </c>
      <c r="D169" s="11" t="n">
        <f aca="false">IFERROR(__xludf.dummyfunction("""COMPUTED_VALUE"""),543)</f>
        <v>543</v>
      </c>
      <c r="E169" s="11" t="str">
        <f aca="false">IFERROR(__xludf.dummyfunction("""COMPUTED_VALUE"""),"/marker-kraska-lakovyj-paint-marker-edding-8750-150599-/")</f>
        <v>/marker-kraska-lakovyj-paint-marker-edding-8750-150599-/</v>
      </c>
    </row>
    <row r="170" customFormat="false" ht="15.75" hidden="false" customHeight="false" outlineLevel="0" collapsed="false">
      <c r="A170" s="11" t="n">
        <f aca="false">IFERROR(__xludf.dummyfunction("""COMPUTED_VALUE"""),203023)</f>
        <v>203023</v>
      </c>
      <c r="B170" s="11" t="str">
        <f aca="false">IFERROR(__xludf.dummyfunction("""COMPUTED_VALUE"""),"Маркер-краска лаковый (paint marker) EDDING 8750 (150596)")</f>
        <v>Маркер-краска лаковый (paint marker) EDDING 8750 (150596)</v>
      </c>
      <c r="C170" s="11" t="str">
        <f aca="false">IFERROR(__xludf.dummyfunction("""COMPUTED_VALUE"""),"В наличии 2377")</f>
        <v>В наличии 2377</v>
      </c>
      <c r="D170" s="11" t="n">
        <f aca="false">IFERROR(__xludf.dummyfunction("""COMPUTED_VALUE"""),543)</f>
        <v>543</v>
      </c>
      <c r="E170" s="11" t="str">
        <f aca="false">IFERROR(__xludf.dummyfunction("""COMPUTED_VALUE"""),"/marker-kraska-lakovyj-paint-marker-edding-8750-150596-/")</f>
        <v>/marker-kraska-lakovyj-paint-marker-edding-8750-150596-/</v>
      </c>
    </row>
    <row r="171" customFormat="false" ht="15.75" hidden="false" customHeight="false" outlineLevel="0" collapsed="false">
      <c r="A171" s="11" t="n">
        <f aca="false">IFERROR(__xludf.dummyfunction("""COMPUTED_VALUE"""),203024)</f>
        <v>203024</v>
      </c>
      <c r="B171" s="11" t="str">
        <f aca="false">IFERROR(__xludf.dummyfunction("""COMPUTED_VALUE"""),"Маркер-краска лаковый (paint marker) EDDING 8750 (150597)")</f>
        <v>Маркер-краска лаковый (paint marker) EDDING 8750 (150597)</v>
      </c>
      <c r="C171" s="11" t="str">
        <f aca="false">IFERROR(__xludf.dummyfunction("""COMPUTED_VALUE"""),"В наличии 268")</f>
        <v>В наличии 268</v>
      </c>
      <c r="D171" s="11" t="n">
        <f aca="false">IFERROR(__xludf.dummyfunction("""COMPUTED_VALUE"""),543)</f>
        <v>543</v>
      </c>
      <c r="E171" s="11" t="str">
        <f aca="false">IFERROR(__xludf.dummyfunction("""COMPUTED_VALUE"""),"/marker-kraska-lakovyj-paint-marker-edding-8750-150597-/")</f>
        <v>/marker-kraska-lakovyj-paint-marker-edding-8750-150597-/</v>
      </c>
    </row>
    <row r="172" customFormat="false" ht="15.75" hidden="false" customHeight="false" outlineLevel="0" collapsed="false">
      <c r="A172" s="11" t="n">
        <f aca="false">IFERROR(__xludf.dummyfunction("""COMPUTED_VALUE"""),203079)</f>
        <v>203079</v>
      </c>
      <c r="B172" s="11" t="str">
        <f aca="false">IFERROR(__xludf.dummyfunction("""COMPUTED_VALUE"""),"Маркер-краска лаковый (paint marker) EDDING 8750 (150713)")</f>
        <v>Маркер-краска лаковый (paint marker) EDDING 8750 (150713)</v>
      </c>
      <c r="C172" s="11" t="str">
        <f aca="false">IFERROR(__xludf.dummyfunction("""COMPUTED_VALUE"""),"В наличии 18")</f>
        <v>В наличии 18</v>
      </c>
      <c r="D172" s="11" t="n">
        <f aca="false">IFERROR(__xludf.dummyfunction("""COMPUTED_VALUE"""),543)</f>
        <v>543</v>
      </c>
      <c r="E172" s="11" t="str">
        <f aca="false">IFERROR(__xludf.dummyfunction("""COMPUTED_VALUE"""),"/marker-kraska-lakovyj-paint-marker-edding-8750-150713-/")</f>
        <v>/marker-kraska-lakovyj-paint-marker-edding-8750-150713-/</v>
      </c>
    </row>
    <row r="173" customFormat="false" ht="15.75" hidden="false" customHeight="false" outlineLevel="0" collapsed="false">
      <c r="A173" s="11" t="n">
        <f aca="false">IFERROR(__xludf.dummyfunction("""COMPUTED_VALUE"""),203080)</f>
        <v>203080</v>
      </c>
      <c r="B173" s="11" t="str">
        <f aca="false">IFERROR(__xludf.dummyfunction("""COMPUTED_VALUE"""),"Маркер-краска лаковый (paint marker) EDDING 8750 (150714)")</f>
        <v>Маркер-краска лаковый (paint marker) EDDING 8750 (150714)</v>
      </c>
      <c r="C173" s="11" t="str">
        <f aca="false">IFERROR(__xludf.dummyfunction("""COMPUTED_VALUE"""),"В наличии 152")</f>
        <v>В наличии 152</v>
      </c>
      <c r="D173" s="11" t="n">
        <f aca="false">IFERROR(__xludf.dummyfunction("""COMPUTED_VALUE"""),543)</f>
        <v>543</v>
      </c>
      <c r="E173" s="11" t="str">
        <f aca="false">IFERROR(__xludf.dummyfunction("""COMPUTED_VALUE"""),"/marker-kraska-lakovyj-paint-marker-edding-8750-150714-/")</f>
        <v>/marker-kraska-lakovyj-paint-marker-edding-8750-150714-/</v>
      </c>
    </row>
    <row r="174" customFormat="false" ht="15.75" hidden="false" customHeight="false" outlineLevel="0" collapsed="false">
      <c r="A174" s="11" t="n">
        <f aca="false">IFERROR(__xludf.dummyfunction("""COMPUTED_VALUE"""),288241)</f>
        <v>288241</v>
      </c>
      <c r="B174" s="11" t="str">
        <f aca="false">IFERROR(__xludf.dummyfunction("""COMPUTED_VALUE"""),"Маркер-краска лаковый (paint marker) СИНИЙ CENTROPEN, скошенный наконечник, 
1-5 мм, 9100, 5 9100 9906")</f>
        <v>Маркер-краска лаковый (paint marker) СИНИЙ CENTROPEN, скошенный наконечник, 
1-5 мм, 9100, 5 9100 9906</v>
      </c>
      <c r="C174" s="11" t="str">
        <f aca="false">IFERROR(__xludf.dummyfunction("""COMPUTED_VALUE"""),"В наличии 86")</f>
        <v>В наличии 86</v>
      </c>
      <c r="D174" s="11" t="n">
        <f aca="false">IFERROR(__xludf.dummyfunction("""COMPUTED_VALUE"""),127)</f>
        <v>127</v>
      </c>
      <c r="E174" s="11" t="str">
        <f aca="false">IFERROR(__xludf.dummyfunction("""COMPUTED_VALUE"""),"/marker-kraska-lakovyj-paint-marker-sinij-centropen-skoshennyj-nakonechnik-1-5-mm-9100-5-9100-9906/")</f>
        <v>/marker-kraska-lakovyj-paint-marker-sinij-centropen-skoshennyj-nakonechnik-1-5-mm-9100-5-9100-9906/</v>
      </c>
    </row>
    <row r="175" customFormat="false" ht="15.75" hidden="false" customHeight="false" outlineLevel="0" collapsed="false">
      <c r="A175" s="11" t="n">
        <f aca="false">IFERROR(__xludf.dummyfunction("""COMPUTED_VALUE"""),202927)</f>
        <v>202927</v>
      </c>
      <c r="B175" s="11" t="str">
        <f aca="false">IFERROR(__xludf.dummyfunction("""COMPUTED_VALUE"""),"Маркер-краска лаковый CENTROPEN (150362)")</f>
        <v>Маркер-краска лаковый CENTROPEN (150362)</v>
      </c>
      <c r="C175" s="11" t="str">
        <f aca="false">IFERROR(__xludf.dummyfunction("""COMPUTED_VALUE"""),"В наличии 98")</f>
        <v>В наличии 98</v>
      </c>
      <c r="D175" s="11" t="n">
        <f aca="false">IFERROR(__xludf.dummyfunction("""COMPUTED_VALUE"""),319)</f>
        <v>319</v>
      </c>
      <c r="E175" s="11" t="str">
        <f aca="false">IFERROR(__xludf.dummyfunction("""COMPUTED_VALUE"""),"/marker-kraska-lakovyj-centropen-150362-/")</f>
        <v>/marker-kraska-lakovyj-centropen-150362-/</v>
      </c>
    </row>
    <row r="176" customFormat="false" ht="15.75" hidden="false" customHeight="false" outlineLevel="0" collapsed="false">
      <c r="A176" s="11" t="n">
        <f aca="false">IFERROR(__xludf.dummyfunction("""COMPUTED_VALUE"""),203013)</f>
        <v>203013</v>
      </c>
      <c r="B176" s="11" t="str">
        <f aca="false">IFERROR(__xludf.dummyfunction("""COMPUTED_VALUE"""),"Маркер-краска лаковый EDDING ""790"" (150586)")</f>
        <v>Маркер-краска лаковый EDDING "790" (150586)</v>
      </c>
      <c r="C176" s="11" t="str">
        <f aca="false">IFERROR(__xludf.dummyfunction("""COMPUTED_VALUE"""),"В наличии 1")</f>
        <v>В наличии 1</v>
      </c>
      <c r="D176" s="11" t="n">
        <f aca="false">IFERROR(__xludf.dummyfunction("""COMPUTED_VALUE"""),241)</f>
        <v>241</v>
      </c>
      <c r="E176" s="11" t="str">
        <f aca="false">IFERROR(__xludf.dummyfunction("""COMPUTED_VALUE"""),"/marker-kraska-lakovyj-edding-790-150586-/")</f>
        <v>/marker-kraska-lakovyj-edding-790-150586-/</v>
      </c>
    </row>
    <row r="177" customFormat="false" ht="15.75" hidden="false" customHeight="false" outlineLevel="0" collapsed="false">
      <c r="A177" s="11" t="n">
        <f aca="false">IFERROR(__xludf.dummyfunction("""COMPUTED_VALUE"""),203017)</f>
        <v>203017</v>
      </c>
      <c r="B177" s="11" t="str">
        <f aca="false">IFERROR(__xludf.dummyfunction("""COMPUTED_VALUE"""),"Маркер-краска лаковый EDDING ""790"" (150590)")</f>
        <v>Маркер-краска лаковый EDDING "790" (150590)</v>
      </c>
      <c r="C177" s="11" t="str">
        <f aca="false">IFERROR(__xludf.dummyfunction("""COMPUTED_VALUE"""),"В наличии 413")</f>
        <v>В наличии 413</v>
      </c>
      <c r="D177" s="11" t="n">
        <f aca="false">IFERROR(__xludf.dummyfunction("""COMPUTED_VALUE"""),330)</f>
        <v>330</v>
      </c>
      <c r="E177" s="11" t="str">
        <f aca="false">IFERROR(__xludf.dummyfunction("""COMPUTED_VALUE"""),"/marker-kraska-lakovyj-edding-790-150590-/")</f>
        <v>/marker-kraska-lakovyj-edding-790-150590-/</v>
      </c>
    </row>
    <row r="178" customFormat="false" ht="15.75" hidden="false" customHeight="false" outlineLevel="0" collapsed="false">
      <c r="A178" s="11" t="n">
        <f aca="false">IFERROR(__xludf.dummyfunction("""COMPUTED_VALUE"""),203484)</f>
        <v>203484</v>
      </c>
      <c r="B178" s="11" t="str">
        <f aca="false">IFERROR(__xludf.dummyfunction("""COMPUTED_VALUE"""),"Маркер-краска лаковый EDDING 750 (151309)")</f>
        <v>Маркер-краска лаковый EDDING 750 (151309)</v>
      </c>
      <c r="C178" s="11" t="str">
        <f aca="false">IFERROR(__xludf.dummyfunction("""COMPUTED_VALUE"""),"В наличии 2")</f>
        <v>В наличии 2</v>
      </c>
      <c r="D178" s="11" t="n">
        <f aca="false">IFERROR(__xludf.dummyfunction("""COMPUTED_VALUE"""),493)</f>
        <v>493</v>
      </c>
      <c r="E178" s="11" t="str">
        <f aca="false">IFERROR(__xludf.dummyfunction("""COMPUTED_VALUE"""),"/marker-kraska-lakovyj-edding-750-151309-/")</f>
        <v>/marker-kraska-lakovyj-edding-750-151309-/</v>
      </c>
    </row>
    <row r="179" customFormat="false" ht="15.75" hidden="false" customHeight="false" outlineLevel="0" collapsed="false">
      <c r="A179" s="11" t="n">
        <f aca="false">IFERROR(__xludf.dummyfunction("""COMPUTED_VALUE"""),203488)</f>
        <v>203488</v>
      </c>
      <c r="B179" s="11" t="str">
        <f aca="false">IFERROR(__xludf.dummyfunction("""COMPUTED_VALUE"""),"Маркер-краска лаковый EDDING 750 (151313)")</f>
        <v>Маркер-краска лаковый EDDING 750 (151313)</v>
      </c>
      <c r="C179" s="11" t="str">
        <f aca="false">IFERROR(__xludf.dummyfunction("""COMPUTED_VALUE"""),"В наличии 5")</f>
        <v>В наличии 5</v>
      </c>
      <c r="D179" s="11" t="n">
        <f aca="false">IFERROR(__xludf.dummyfunction("""COMPUTED_VALUE"""),148)</f>
        <v>148</v>
      </c>
      <c r="E179" s="11" t="str">
        <f aca="false">IFERROR(__xludf.dummyfunction("""COMPUTED_VALUE"""),"/marker-kraska-lakovyj-edding-750-151313-/")</f>
        <v>/marker-kraska-lakovyj-edding-750-151313-/</v>
      </c>
    </row>
    <row r="180" customFormat="false" ht="15.75" hidden="false" customHeight="false" outlineLevel="0" collapsed="false">
      <c r="A180" s="11" t="n">
        <f aca="false">IFERROR(__xludf.dummyfunction("""COMPUTED_VALUE"""),203489)</f>
        <v>203489</v>
      </c>
      <c r="B180" s="11" t="str">
        <f aca="false">IFERROR(__xludf.dummyfunction("""COMPUTED_VALUE"""),"Маркер-краска лаковый EDDING 750 (151314)")</f>
        <v>Маркер-краска лаковый EDDING 750 (151314)</v>
      </c>
      <c r="C180" s="11" t="str">
        <f aca="false">IFERROR(__xludf.dummyfunction("""COMPUTED_VALUE"""),"В наличии 42")</f>
        <v>В наличии 42</v>
      </c>
      <c r="D180" s="11" t="n">
        <f aca="false">IFERROR(__xludf.dummyfunction("""COMPUTED_VALUE"""),493)</f>
        <v>493</v>
      </c>
      <c r="E180" s="11" t="str">
        <f aca="false">IFERROR(__xludf.dummyfunction("""COMPUTED_VALUE"""),"/marker-kraska-lakovyj-edding-750-151314-/")</f>
        <v>/marker-kraska-lakovyj-edding-750-151314-/</v>
      </c>
    </row>
    <row r="181" customFormat="false" ht="15.75" hidden="false" customHeight="false" outlineLevel="0" collapsed="false">
      <c r="A181" s="11" t="n">
        <f aca="false">IFERROR(__xludf.dummyfunction("""COMPUTED_VALUE"""),203491)</f>
        <v>203491</v>
      </c>
      <c r="B181" s="11" t="str">
        <f aca="false">IFERROR(__xludf.dummyfunction("""COMPUTED_VALUE"""),"Маркер-краска лаковый EDDING 750 (151316)")</f>
        <v>Маркер-краска лаковый EDDING 750 (151316)</v>
      </c>
      <c r="C181" s="11" t="str">
        <f aca="false">IFERROR(__xludf.dummyfunction("""COMPUTED_VALUE"""),"В наличии 70")</f>
        <v>В наличии 70</v>
      </c>
      <c r="D181" s="11" t="n">
        <f aca="false">IFERROR(__xludf.dummyfunction("""COMPUTED_VALUE"""),352)</f>
        <v>352</v>
      </c>
      <c r="E181" s="11" t="str">
        <f aca="false">IFERROR(__xludf.dummyfunction("""COMPUTED_VALUE"""),"/marker-kraska-lakovyj-edding-750-151316-/")</f>
        <v>/marker-kraska-lakovyj-edding-750-151316-/</v>
      </c>
    </row>
    <row r="182" customFormat="false" ht="15.75" hidden="false" customHeight="false" outlineLevel="0" collapsed="false">
      <c r="A182" s="11"/>
      <c r="B182" s="13"/>
      <c r="C182" s="12"/>
      <c r="D182" s="12"/>
      <c r="E182" s="11"/>
    </row>
    <row r="183" customFormat="false" ht="15.75" hidden="false" customHeight="false" outlineLevel="0" collapsed="false">
      <c r="A183" s="11"/>
      <c r="B183" s="11"/>
      <c r="C183" s="11"/>
      <c r="D183" s="11"/>
      <c r="E183" s="11"/>
    </row>
    <row r="184" customFormat="false" ht="15.75" hidden="false" customHeight="false" outlineLevel="0" collapsed="false">
      <c r="A184" s="11"/>
      <c r="B184" s="11"/>
      <c r="C184" s="11"/>
      <c r="D184" s="11"/>
      <c r="E184" s="11"/>
    </row>
    <row r="185" customFormat="false" ht="15.75" hidden="false" customHeight="false" outlineLevel="0" collapsed="false">
      <c r="A185" s="11"/>
      <c r="B185" s="11"/>
      <c r="C185" s="11"/>
      <c r="D185" s="11"/>
      <c r="E185" s="11"/>
    </row>
    <row r="186" customFormat="false" ht="15.75" hidden="false" customHeight="false" outlineLevel="0" collapsed="false">
      <c r="A186" s="11"/>
      <c r="B186" s="11"/>
      <c r="C186" s="11"/>
      <c r="D186" s="11"/>
      <c r="E186" s="11"/>
    </row>
    <row r="187" customFormat="false" ht="15.75" hidden="false" customHeight="false" outlineLevel="0" collapsed="false">
      <c r="A187" s="11"/>
      <c r="B187" s="11"/>
      <c r="C187" s="11"/>
      <c r="D187" s="11"/>
      <c r="E187" s="11"/>
    </row>
    <row r="188" customFormat="false" ht="15.75" hidden="false" customHeight="false" outlineLevel="0" collapsed="false">
      <c r="A188" s="11"/>
      <c r="B188" s="11"/>
      <c r="C188" s="11"/>
      <c r="D188" s="11"/>
      <c r="E188" s="11"/>
    </row>
    <row r="189" customFormat="false" ht="15.75" hidden="false" customHeight="false" outlineLevel="0" collapsed="false">
      <c r="A189" s="11"/>
      <c r="B189" s="11"/>
      <c r="C189" s="11"/>
      <c r="D189" s="11"/>
      <c r="E189" s="11"/>
    </row>
    <row r="190" customFormat="false" ht="15.75" hidden="false" customHeight="false" outlineLevel="0" collapsed="false">
      <c r="A190" s="11"/>
      <c r="B190" s="11"/>
      <c r="C190" s="11"/>
      <c r="D190" s="11"/>
      <c r="E190" s="11"/>
    </row>
    <row r="191" customFormat="false" ht="15.75" hidden="false" customHeight="false" outlineLevel="0" collapsed="false">
      <c r="A191" s="11"/>
      <c r="B191" s="11"/>
      <c r="C191" s="11"/>
      <c r="D191" s="11"/>
      <c r="E191" s="11"/>
    </row>
    <row r="192" customFormat="false" ht="15.75" hidden="false" customHeight="false" outlineLevel="0" collapsed="false">
      <c r="A192" s="11"/>
      <c r="B192" s="11"/>
      <c r="C192" s="11"/>
      <c r="D192" s="11"/>
      <c r="E192" s="11"/>
    </row>
    <row r="193" customFormat="false" ht="15.75" hidden="false" customHeight="false" outlineLevel="0" collapsed="false">
      <c r="A193" s="11"/>
      <c r="B193" s="11"/>
      <c r="C193" s="11"/>
      <c r="D193" s="11"/>
      <c r="E193" s="11"/>
    </row>
    <row r="194" customFormat="false" ht="15.75" hidden="false" customHeight="false" outlineLevel="0" collapsed="false">
      <c r="A194" s="11"/>
      <c r="B194" s="11"/>
      <c r="C194" s="11"/>
      <c r="D194" s="11"/>
      <c r="E194" s="11"/>
    </row>
    <row r="195" customFormat="false" ht="15.75" hidden="false" customHeight="false" outlineLevel="0" collapsed="false">
      <c r="A195" s="11"/>
      <c r="B195" s="11"/>
      <c r="C195" s="11"/>
      <c r="D195" s="11"/>
      <c r="E195" s="11"/>
    </row>
    <row r="196" customFormat="false" ht="15.75" hidden="false" customHeight="false" outlineLevel="0" collapsed="false">
      <c r="A196" s="11"/>
      <c r="B196" s="11"/>
      <c r="C196" s="11"/>
      <c r="D196" s="11"/>
      <c r="E196" s="11"/>
    </row>
    <row r="197" customFormat="false" ht="15.75" hidden="false" customHeight="false" outlineLevel="0" collapsed="false">
      <c r="A197" s="11"/>
      <c r="B197" s="11"/>
      <c r="C197" s="11"/>
      <c r="D197" s="11"/>
      <c r="E197" s="11"/>
    </row>
    <row r="198" customFormat="false" ht="15.75" hidden="false" customHeight="false" outlineLevel="0" collapsed="false">
      <c r="A198" s="11"/>
      <c r="B198" s="11"/>
      <c r="C198" s="11"/>
      <c r="D198" s="11"/>
      <c r="E198" s="11"/>
    </row>
    <row r="199" customFormat="false" ht="15.75" hidden="false" customHeight="false" outlineLevel="0" collapsed="false">
      <c r="A199" s="11"/>
      <c r="B199" s="11"/>
      <c r="C199" s="11"/>
      <c r="D199" s="11"/>
      <c r="E199" s="11"/>
    </row>
    <row r="200" customFormat="false" ht="15.75" hidden="false" customHeight="false" outlineLevel="0" collapsed="false">
      <c r="A200" s="11"/>
      <c r="B200" s="11"/>
      <c r="C200" s="11"/>
      <c r="D200" s="11"/>
      <c r="E200" s="11"/>
    </row>
    <row r="201" customFormat="false" ht="15.75" hidden="false" customHeight="false" outlineLevel="0" collapsed="false">
      <c r="A201" s="11"/>
      <c r="B201" s="11"/>
      <c r="C201" s="11"/>
      <c r="D201" s="11"/>
      <c r="E201" s="11"/>
    </row>
    <row r="202" customFormat="false" ht="15.75" hidden="false" customHeight="false" outlineLevel="0" collapsed="false">
      <c r="A202" s="11"/>
      <c r="B202" s="11"/>
      <c r="C202" s="11"/>
      <c r="D202" s="11"/>
      <c r="E202" s="11"/>
    </row>
    <row r="203" customFormat="false" ht="15.75" hidden="false" customHeight="false" outlineLevel="0" collapsed="false">
      <c r="A203" s="11"/>
      <c r="B203" s="11"/>
      <c r="C203" s="11"/>
      <c r="D203" s="11"/>
      <c r="E203" s="11"/>
    </row>
    <row r="204" customFormat="false" ht="15.75" hidden="false" customHeight="false" outlineLevel="0" collapsed="false">
      <c r="A204" s="11"/>
      <c r="B204" s="11"/>
      <c r="C204" s="11"/>
      <c r="D204" s="11"/>
      <c r="E204" s="11"/>
    </row>
    <row r="205" customFormat="false" ht="15.75" hidden="false" customHeight="false" outlineLevel="0" collapsed="false">
      <c r="A205" s="11"/>
      <c r="B205" s="11"/>
      <c r="C205" s="11"/>
      <c r="D205" s="11"/>
      <c r="E205" s="11"/>
    </row>
    <row r="206" customFormat="false" ht="15.75" hidden="false" customHeight="false" outlineLevel="0" collapsed="false">
      <c r="A206" s="11"/>
      <c r="B206" s="11"/>
      <c r="C206" s="11"/>
      <c r="D206" s="11"/>
      <c r="E206" s="11"/>
    </row>
    <row r="207" customFormat="false" ht="15.75" hidden="false" customHeight="false" outlineLevel="0" collapsed="false">
      <c r="A207" s="11"/>
      <c r="B207" s="11"/>
      <c r="C207" s="11"/>
      <c r="D207" s="11"/>
      <c r="E207" s="11"/>
    </row>
    <row r="208" customFormat="false" ht="15.75" hidden="false" customHeight="false" outlineLevel="0" collapsed="false">
      <c r="A208" s="11"/>
      <c r="B208" s="11"/>
      <c r="C208" s="11"/>
      <c r="D208" s="11"/>
      <c r="E208" s="11"/>
    </row>
    <row r="209" customFormat="false" ht="15.75" hidden="false" customHeight="false" outlineLevel="0" collapsed="false">
      <c r="A209" s="11"/>
      <c r="B209" s="11"/>
      <c r="C209" s="11"/>
      <c r="D209" s="11"/>
      <c r="E209" s="11"/>
    </row>
    <row r="210" customFormat="false" ht="15.75" hidden="false" customHeight="false" outlineLevel="0" collapsed="false">
      <c r="A210" s="11"/>
      <c r="B210" s="11"/>
      <c r="C210" s="11"/>
      <c r="D210" s="11"/>
      <c r="E210" s="11"/>
    </row>
    <row r="211" customFormat="false" ht="15.75" hidden="false" customHeight="false" outlineLevel="0" collapsed="false">
      <c r="A211" s="11"/>
      <c r="B211" s="11"/>
      <c r="C211" s="11"/>
      <c r="D211" s="11"/>
      <c r="E211" s="11"/>
    </row>
    <row r="212" customFormat="false" ht="15.75" hidden="false" customHeight="false" outlineLevel="0" collapsed="false">
      <c r="A212" s="11"/>
      <c r="B212" s="11"/>
      <c r="C212" s="11"/>
      <c r="D212" s="11"/>
      <c r="E212" s="11"/>
    </row>
    <row r="213" customFormat="false" ht="15.75" hidden="false" customHeight="false" outlineLevel="0" collapsed="false">
      <c r="A213" s="11"/>
      <c r="B213" s="11"/>
      <c r="C213" s="11"/>
      <c r="D213" s="11"/>
      <c r="E213" s="11"/>
    </row>
    <row r="214" customFormat="false" ht="15.75" hidden="false" customHeight="false" outlineLevel="0" collapsed="false">
      <c r="A214" s="11"/>
      <c r="B214" s="11"/>
      <c r="C214" s="11"/>
      <c r="D214" s="11"/>
      <c r="E214" s="11"/>
    </row>
    <row r="215" customFormat="false" ht="15.75" hidden="false" customHeight="false" outlineLevel="0" collapsed="false">
      <c r="A215" s="11"/>
      <c r="B215" s="11"/>
      <c r="C215" s="11"/>
      <c r="D215" s="11"/>
      <c r="E215" s="11"/>
    </row>
    <row r="216" customFormat="false" ht="15.75" hidden="false" customHeight="false" outlineLevel="0" collapsed="false">
      <c r="A216" s="11"/>
      <c r="B216" s="11"/>
      <c r="C216" s="11"/>
      <c r="D216" s="11"/>
      <c r="E216" s="11"/>
    </row>
    <row r="217" customFormat="false" ht="15.75" hidden="false" customHeight="false" outlineLevel="0" collapsed="false">
      <c r="A217" s="11"/>
      <c r="B217" s="11"/>
      <c r="C217" s="11"/>
      <c r="D217" s="11"/>
      <c r="E217" s="11"/>
    </row>
    <row r="218" customFormat="false" ht="15.75" hidden="false" customHeight="false" outlineLevel="0" collapsed="false">
      <c r="A218" s="11"/>
      <c r="B218" s="11"/>
      <c r="C218" s="11"/>
      <c r="D218" s="11"/>
      <c r="E218" s="11"/>
    </row>
    <row r="219" customFormat="false" ht="15.75" hidden="false" customHeight="false" outlineLevel="0" collapsed="false">
      <c r="A219" s="11"/>
      <c r="B219" s="11"/>
      <c r="C219" s="11"/>
      <c r="D219" s="11"/>
      <c r="E219" s="11"/>
    </row>
    <row r="220" customFormat="false" ht="15.75" hidden="false" customHeight="false" outlineLevel="0" collapsed="false">
      <c r="A220" s="11"/>
      <c r="B220" s="11"/>
      <c r="C220" s="11"/>
      <c r="D220" s="11"/>
      <c r="E220" s="11"/>
    </row>
    <row r="221" customFormat="false" ht="15.75" hidden="false" customHeight="false" outlineLevel="0" collapsed="false">
      <c r="A221" s="11"/>
      <c r="B221" s="11"/>
      <c r="C221" s="11"/>
      <c r="D221" s="11"/>
      <c r="E221" s="11"/>
    </row>
    <row r="222" customFormat="false" ht="15.75" hidden="false" customHeight="false" outlineLevel="0" collapsed="false">
      <c r="A222" s="11"/>
      <c r="B222" s="11"/>
      <c r="C222" s="11"/>
      <c r="D222" s="11"/>
      <c r="E222" s="11"/>
    </row>
    <row r="223" customFormat="false" ht="15.75" hidden="false" customHeight="false" outlineLevel="0" collapsed="false">
      <c r="A223" s="11"/>
      <c r="B223" s="11"/>
      <c r="C223" s="11"/>
      <c r="D223" s="11"/>
      <c r="E223" s="11"/>
    </row>
    <row r="224" customFormat="false" ht="15.75" hidden="false" customHeight="false" outlineLevel="0" collapsed="false">
      <c r="A224" s="11"/>
      <c r="B224" s="11"/>
      <c r="C224" s="11"/>
      <c r="D224" s="11"/>
      <c r="E224" s="11"/>
    </row>
    <row r="225" customFormat="false" ht="15.75" hidden="false" customHeight="false" outlineLevel="0" collapsed="false">
      <c r="A225" s="11"/>
      <c r="B225" s="11"/>
      <c r="C225" s="11"/>
      <c r="D225" s="11"/>
      <c r="E225" s="11"/>
    </row>
    <row r="226" customFormat="false" ht="15.75" hidden="false" customHeight="false" outlineLevel="0" collapsed="false">
      <c r="A226" s="11"/>
      <c r="B226" s="11"/>
      <c r="C226" s="11"/>
      <c r="D226" s="11"/>
      <c r="E226" s="11"/>
    </row>
    <row r="227" customFormat="false" ht="15.75" hidden="false" customHeight="false" outlineLevel="0" collapsed="false">
      <c r="A227" s="11"/>
      <c r="B227" s="11"/>
      <c r="C227" s="11"/>
      <c r="D227" s="11"/>
      <c r="E227" s="11"/>
    </row>
    <row r="228" customFormat="false" ht="15.75" hidden="false" customHeight="false" outlineLevel="0" collapsed="false">
      <c r="A228" s="11"/>
      <c r="B228" s="11"/>
      <c r="C228" s="11"/>
      <c r="D228" s="11"/>
      <c r="E228" s="11"/>
    </row>
    <row r="229" customFormat="false" ht="15.75" hidden="false" customHeight="false" outlineLevel="0" collapsed="false">
      <c r="A229" s="11"/>
      <c r="B229" s="11"/>
      <c r="C229" s="11"/>
      <c r="D229" s="11"/>
      <c r="E229" s="11"/>
    </row>
    <row r="230" customFormat="false" ht="15.75" hidden="false" customHeight="false" outlineLevel="0" collapsed="false">
      <c r="A230" s="11"/>
      <c r="B230" s="11"/>
      <c r="C230" s="11"/>
      <c r="D230" s="11"/>
      <c r="E230" s="11"/>
    </row>
    <row r="231" customFormat="false" ht="15.75" hidden="false" customHeight="false" outlineLevel="0" collapsed="false">
      <c r="A231" s="11"/>
      <c r="B231" s="11"/>
      <c r="C231" s="11"/>
      <c r="D231" s="11"/>
      <c r="E231" s="11"/>
    </row>
    <row r="232" customFormat="false" ht="15.75" hidden="false" customHeight="false" outlineLevel="0" collapsed="false">
      <c r="A232" s="11"/>
      <c r="B232" s="11"/>
      <c r="C232" s="11"/>
      <c r="D232" s="11"/>
      <c r="E232" s="11"/>
    </row>
    <row r="233" customFormat="false" ht="15.75" hidden="false" customHeight="false" outlineLevel="0" collapsed="false">
      <c r="A233" s="11"/>
      <c r="B233" s="11"/>
      <c r="C233" s="11"/>
      <c r="D233" s="11"/>
      <c r="E233" s="11"/>
    </row>
    <row r="234" customFormat="false" ht="15.75" hidden="false" customHeight="false" outlineLevel="0" collapsed="false">
      <c r="A234" s="11"/>
      <c r="B234" s="11"/>
      <c r="C234" s="11"/>
      <c r="D234" s="11"/>
      <c r="E234" s="11"/>
    </row>
    <row r="235" customFormat="false" ht="15.75" hidden="false" customHeight="false" outlineLevel="0" collapsed="false">
      <c r="A235" s="11"/>
      <c r="B235" s="11"/>
      <c r="C235" s="11"/>
      <c r="D235" s="11"/>
      <c r="E235" s="11"/>
    </row>
    <row r="236" customFormat="false" ht="15.75" hidden="false" customHeight="false" outlineLevel="0" collapsed="false">
      <c r="A236" s="11"/>
      <c r="B236" s="11"/>
      <c r="C236" s="11"/>
      <c r="D236" s="11"/>
      <c r="E236" s="11"/>
    </row>
    <row r="237" customFormat="false" ht="15.75" hidden="false" customHeight="false" outlineLevel="0" collapsed="false">
      <c r="A237" s="11"/>
      <c r="B237" s="11"/>
      <c r="C237" s="11"/>
      <c r="D237" s="11"/>
      <c r="E237" s="11"/>
    </row>
    <row r="238" customFormat="false" ht="15.75" hidden="false" customHeight="false" outlineLevel="0" collapsed="false">
      <c r="A238" s="11"/>
      <c r="B238" s="11"/>
      <c r="C238" s="11"/>
      <c r="D238" s="11"/>
      <c r="E238" s="11"/>
    </row>
    <row r="239" customFormat="false" ht="15.75" hidden="false" customHeight="false" outlineLevel="0" collapsed="false">
      <c r="A239" s="11"/>
      <c r="B239" s="11"/>
      <c r="C239" s="11"/>
      <c r="D239" s="11"/>
      <c r="E239" s="11"/>
    </row>
    <row r="240" customFormat="false" ht="15.75" hidden="false" customHeight="false" outlineLevel="0" collapsed="false">
      <c r="A240" s="11"/>
      <c r="B240" s="11"/>
      <c r="C240" s="11"/>
      <c r="D240" s="11"/>
      <c r="E240" s="11"/>
    </row>
    <row r="241" customFormat="false" ht="15.75" hidden="false" customHeight="false" outlineLevel="0" collapsed="false">
      <c r="A241" s="11"/>
      <c r="B241" s="11"/>
      <c r="C241" s="11"/>
      <c r="D241" s="11"/>
      <c r="E241" s="11"/>
    </row>
    <row r="242" customFormat="false" ht="15.75" hidden="false" customHeight="false" outlineLevel="0" collapsed="false">
      <c r="A242" s="11"/>
      <c r="B242" s="11"/>
      <c r="C242" s="11"/>
      <c r="D242" s="11"/>
      <c r="E242" s="11"/>
    </row>
    <row r="243" customFormat="false" ht="15.75" hidden="false" customHeight="false" outlineLevel="0" collapsed="false">
      <c r="A243" s="11"/>
      <c r="B243" s="11"/>
      <c r="C243" s="11"/>
      <c r="D243" s="11"/>
      <c r="E243" s="11"/>
    </row>
    <row r="244" customFormat="false" ht="15.75" hidden="false" customHeight="false" outlineLevel="0" collapsed="false">
      <c r="A244" s="11"/>
      <c r="B244" s="11"/>
      <c r="C244" s="11"/>
      <c r="D244" s="11"/>
      <c r="E244" s="11"/>
    </row>
    <row r="245" customFormat="false" ht="15.75" hidden="false" customHeight="false" outlineLevel="0" collapsed="false">
      <c r="A245" s="11"/>
      <c r="B245" s="11"/>
      <c r="C245" s="11"/>
      <c r="D245" s="11"/>
      <c r="E245" s="11"/>
    </row>
    <row r="246" customFormat="false" ht="15.75" hidden="false" customHeight="false" outlineLevel="0" collapsed="false">
      <c r="A246" s="11"/>
      <c r="B246" s="11"/>
      <c r="C246" s="11"/>
      <c r="D246" s="11"/>
      <c r="E246" s="11"/>
    </row>
    <row r="247" customFormat="false" ht="15.75" hidden="false" customHeight="false" outlineLevel="0" collapsed="false">
      <c r="A247" s="11"/>
      <c r="B247" s="11"/>
      <c r="C247" s="11"/>
      <c r="D247" s="11"/>
      <c r="E247" s="11"/>
    </row>
    <row r="248" customFormat="false" ht="15.75" hidden="false" customHeight="false" outlineLevel="0" collapsed="false">
      <c r="A248" s="11"/>
      <c r="B248" s="11"/>
      <c r="C248" s="11"/>
      <c r="D248" s="11"/>
      <c r="E248" s="11"/>
    </row>
    <row r="249" customFormat="false" ht="15.75" hidden="false" customHeight="false" outlineLevel="0" collapsed="false">
      <c r="A249" s="11"/>
      <c r="B249" s="11"/>
      <c r="C249" s="11"/>
      <c r="D249" s="11"/>
      <c r="E249" s="11"/>
    </row>
    <row r="250" customFormat="false" ht="15.75" hidden="false" customHeight="false" outlineLevel="0" collapsed="false">
      <c r="A250" s="11"/>
      <c r="B250" s="11"/>
      <c r="C250" s="11"/>
      <c r="D250" s="11"/>
      <c r="E250" s="11"/>
    </row>
    <row r="251" customFormat="false" ht="15.75" hidden="false" customHeight="false" outlineLevel="0" collapsed="false">
      <c r="A251" s="11"/>
      <c r="B251" s="11"/>
      <c r="C251" s="11"/>
      <c r="D251" s="11"/>
      <c r="E251" s="11"/>
    </row>
    <row r="252" customFormat="false" ht="15.75" hidden="false" customHeight="false" outlineLevel="0" collapsed="false">
      <c r="A252" s="11"/>
      <c r="B252" s="11"/>
      <c r="C252" s="11"/>
      <c r="D252" s="11"/>
      <c r="E252" s="11"/>
    </row>
    <row r="253" customFormat="false" ht="15.75" hidden="false" customHeight="false" outlineLevel="0" collapsed="false">
      <c r="A253" s="11"/>
      <c r="B253" s="11"/>
      <c r="C253" s="11"/>
      <c r="D253" s="11"/>
      <c r="E253" s="11"/>
    </row>
    <row r="254" customFormat="false" ht="15.75" hidden="false" customHeight="false" outlineLevel="0" collapsed="false">
      <c r="A254" s="11"/>
      <c r="B254" s="11"/>
      <c r="C254" s="11"/>
      <c r="D254" s="11"/>
      <c r="E254" s="11"/>
    </row>
    <row r="255" customFormat="false" ht="15.75" hidden="false" customHeight="false" outlineLevel="0" collapsed="false">
      <c r="A255" s="11"/>
      <c r="B255" s="11"/>
      <c r="C255" s="11"/>
      <c r="D255" s="11"/>
      <c r="E255" s="11"/>
    </row>
    <row r="256" customFormat="false" ht="15.75" hidden="false" customHeight="false" outlineLevel="0" collapsed="false">
      <c r="A256" s="11"/>
      <c r="B256" s="11"/>
      <c r="C256" s="11"/>
      <c r="D256" s="11"/>
      <c r="E256" s="11"/>
    </row>
    <row r="257" customFormat="false" ht="15.75" hidden="false" customHeight="false" outlineLevel="0" collapsed="false">
      <c r="A257" s="11"/>
      <c r="B257" s="11"/>
      <c r="C257" s="11"/>
      <c r="D257" s="11"/>
      <c r="E257" s="11"/>
    </row>
    <row r="258" customFormat="false" ht="15.75" hidden="false" customHeight="false" outlineLevel="0" collapsed="false">
      <c r="A258" s="11"/>
      <c r="B258" s="11"/>
      <c r="C258" s="11"/>
      <c r="D258" s="11"/>
      <c r="E258" s="11"/>
    </row>
    <row r="259" customFormat="false" ht="15.75" hidden="false" customHeight="false" outlineLevel="0" collapsed="false">
      <c r="A259" s="11"/>
      <c r="B259" s="11"/>
      <c r="C259" s="11"/>
      <c r="D259" s="11"/>
      <c r="E259" s="11"/>
    </row>
    <row r="260" customFormat="false" ht="15.75" hidden="false" customHeight="false" outlineLevel="0" collapsed="false">
      <c r="A260" s="11"/>
      <c r="B260" s="11"/>
      <c r="C260" s="11"/>
      <c r="D260" s="11"/>
      <c r="E260" s="11"/>
    </row>
    <row r="261" customFormat="false" ht="15.75" hidden="false" customHeight="false" outlineLevel="0" collapsed="false">
      <c r="A261" s="11"/>
      <c r="B261" s="11"/>
      <c r="C261" s="11"/>
      <c r="D261" s="11"/>
      <c r="E261" s="11"/>
    </row>
    <row r="262" customFormat="false" ht="15.75" hidden="false" customHeight="false" outlineLevel="0" collapsed="false">
      <c r="A262" s="11"/>
      <c r="B262" s="11"/>
      <c r="C262" s="11"/>
      <c r="D262" s="11"/>
      <c r="E262" s="11"/>
    </row>
    <row r="263" customFormat="false" ht="15.75" hidden="false" customHeight="false" outlineLevel="0" collapsed="false">
      <c r="A263" s="11"/>
      <c r="B263" s="11"/>
      <c r="C263" s="11"/>
      <c r="D263" s="11"/>
      <c r="E263" s="11"/>
    </row>
    <row r="264" customFormat="false" ht="15.75" hidden="false" customHeight="false" outlineLevel="0" collapsed="false">
      <c r="A264" s="11"/>
      <c r="B264" s="11"/>
      <c r="C264" s="11"/>
      <c r="D264" s="11"/>
      <c r="E264" s="11"/>
    </row>
    <row r="265" customFormat="false" ht="15.75" hidden="false" customHeight="false" outlineLevel="0" collapsed="false">
      <c r="A265" s="11"/>
      <c r="B265" s="11"/>
      <c r="C265" s="11"/>
      <c r="D265" s="11"/>
      <c r="E265" s="11"/>
    </row>
    <row r="266" customFormat="false" ht="15.75" hidden="false" customHeight="false" outlineLevel="0" collapsed="false">
      <c r="A266" s="11"/>
      <c r="B266" s="11"/>
      <c r="C266" s="11"/>
      <c r="D266" s="11"/>
      <c r="E266" s="11"/>
    </row>
    <row r="267" customFormat="false" ht="15.75" hidden="false" customHeight="false" outlineLevel="0" collapsed="false">
      <c r="A267" s="11"/>
      <c r="B267" s="11"/>
      <c r="C267" s="11"/>
      <c r="D267" s="11"/>
      <c r="E267" s="11"/>
    </row>
    <row r="268" customFormat="false" ht="15.75" hidden="false" customHeight="false" outlineLevel="0" collapsed="false">
      <c r="A268" s="11"/>
      <c r="B268" s="11"/>
      <c r="C268" s="11"/>
      <c r="D268" s="11"/>
      <c r="E268" s="11"/>
    </row>
    <row r="269" customFormat="false" ht="15.75" hidden="false" customHeight="false" outlineLevel="0" collapsed="false">
      <c r="A269" s="11"/>
      <c r="B269" s="11"/>
      <c r="C269" s="11"/>
      <c r="D269" s="11"/>
      <c r="E269" s="11"/>
    </row>
    <row r="270" customFormat="false" ht="15.75" hidden="false" customHeight="false" outlineLevel="0" collapsed="false">
      <c r="A270" s="11"/>
      <c r="B270" s="11"/>
      <c r="C270" s="11"/>
      <c r="D270" s="11"/>
      <c r="E270" s="11"/>
    </row>
    <row r="271" customFormat="false" ht="15.75" hidden="false" customHeight="false" outlineLevel="0" collapsed="false">
      <c r="A271" s="11"/>
      <c r="B271" s="11"/>
      <c r="C271" s="11"/>
      <c r="D271" s="11"/>
      <c r="E271" s="11"/>
    </row>
    <row r="272" customFormat="false" ht="15.75" hidden="false" customHeight="false" outlineLevel="0" collapsed="false">
      <c r="A272" s="11"/>
      <c r="B272" s="11"/>
      <c r="C272" s="11"/>
      <c r="D272" s="11"/>
      <c r="E272" s="11"/>
    </row>
    <row r="273" customFormat="false" ht="15.75" hidden="false" customHeight="false" outlineLevel="0" collapsed="false">
      <c r="A273" s="11"/>
      <c r="B273" s="11"/>
      <c r="C273" s="11"/>
      <c r="D273" s="11"/>
      <c r="E273" s="11"/>
    </row>
    <row r="274" customFormat="false" ht="15.75" hidden="false" customHeight="false" outlineLevel="0" collapsed="false">
      <c r="A274" s="11"/>
      <c r="B274" s="11"/>
      <c r="C274" s="11"/>
      <c r="D274" s="11"/>
      <c r="E274" s="11"/>
    </row>
    <row r="275" customFormat="false" ht="15.75" hidden="false" customHeight="false" outlineLevel="0" collapsed="false">
      <c r="A275" s="11"/>
      <c r="B275" s="11"/>
      <c r="C275" s="11"/>
      <c r="D275" s="11"/>
      <c r="E275" s="11"/>
    </row>
    <row r="276" customFormat="false" ht="15.75" hidden="false" customHeight="false" outlineLevel="0" collapsed="false">
      <c r="A276" s="11"/>
      <c r="B276" s="11"/>
      <c r="C276" s="11"/>
      <c r="D276" s="11"/>
      <c r="E276" s="11"/>
    </row>
    <row r="277" customFormat="false" ht="15.75" hidden="false" customHeight="false" outlineLevel="0" collapsed="false">
      <c r="A277" s="11"/>
      <c r="B277" s="11"/>
      <c r="C277" s="11"/>
      <c r="D277" s="11"/>
      <c r="E277" s="11"/>
    </row>
    <row r="278" customFormat="false" ht="15.75" hidden="false" customHeight="false" outlineLevel="0" collapsed="false">
      <c r="A278" s="11"/>
      <c r="B278" s="11"/>
      <c r="C278" s="11"/>
      <c r="D278" s="11"/>
      <c r="E278" s="11"/>
    </row>
    <row r="279" customFormat="false" ht="15.75" hidden="false" customHeight="false" outlineLevel="0" collapsed="false">
      <c r="A279" s="11"/>
      <c r="B279" s="11"/>
      <c r="C279" s="11"/>
      <c r="D279" s="11"/>
      <c r="E279" s="11"/>
    </row>
    <row r="280" customFormat="false" ht="15.75" hidden="false" customHeight="false" outlineLevel="0" collapsed="false">
      <c r="A280" s="11"/>
      <c r="B280" s="11"/>
      <c r="C280" s="11"/>
      <c r="D280" s="11"/>
      <c r="E280" s="11"/>
    </row>
    <row r="281" customFormat="false" ht="15.75" hidden="false" customHeight="false" outlineLevel="0" collapsed="false">
      <c r="A281" s="11"/>
      <c r="B281" s="11"/>
      <c r="C281" s="11"/>
      <c r="D281" s="11"/>
      <c r="E281" s="11"/>
    </row>
    <row r="282" customFormat="false" ht="15.75" hidden="false" customHeight="false" outlineLevel="0" collapsed="false">
      <c r="A282" s="11"/>
      <c r="B282" s="11"/>
      <c r="C282" s="11"/>
      <c r="D282" s="11"/>
      <c r="E282" s="11"/>
    </row>
    <row r="283" customFormat="false" ht="15.75" hidden="false" customHeight="false" outlineLevel="0" collapsed="false">
      <c r="A283" s="11"/>
      <c r="B283" s="11"/>
      <c r="C283" s="11"/>
      <c r="D283" s="11"/>
      <c r="E283" s="11"/>
    </row>
    <row r="284" customFormat="false" ht="15.75" hidden="false" customHeight="false" outlineLevel="0" collapsed="false">
      <c r="A284" s="11"/>
      <c r="B284" s="11"/>
      <c r="C284" s="11"/>
      <c r="D284" s="11"/>
      <c r="E284" s="11"/>
    </row>
    <row r="285" customFormat="false" ht="15.75" hidden="false" customHeight="false" outlineLevel="0" collapsed="false">
      <c r="A285" s="11"/>
      <c r="B285" s="11"/>
      <c r="C285" s="11"/>
      <c r="D285" s="11"/>
      <c r="E285" s="11"/>
    </row>
    <row r="286" customFormat="false" ht="15.75" hidden="false" customHeight="false" outlineLevel="0" collapsed="false">
      <c r="A286" s="11"/>
      <c r="B286" s="11"/>
      <c r="C286" s="11"/>
      <c r="D286" s="11"/>
      <c r="E286" s="11"/>
    </row>
    <row r="287" customFormat="false" ht="15.75" hidden="false" customHeight="false" outlineLevel="0" collapsed="false">
      <c r="A287" s="11"/>
      <c r="B287" s="11"/>
      <c r="C287" s="11"/>
      <c r="D287" s="11"/>
      <c r="E287" s="11"/>
    </row>
    <row r="288" customFormat="false" ht="15.75" hidden="false" customHeight="false" outlineLevel="0" collapsed="false">
      <c r="A288" s="11"/>
      <c r="B288" s="11"/>
      <c r="C288" s="11"/>
      <c r="D288" s="11"/>
      <c r="E288" s="11"/>
    </row>
    <row r="289" customFormat="false" ht="15.75" hidden="false" customHeight="false" outlineLevel="0" collapsed="false">
      <c r="A289" s="11"/>
      <c r="B289" s="11"/>
      <c r="C289" s="11"/>
      <c r="D289" s="11"/>
      <c r="E289" s="11"/>
    </row>
    <row r="290" customFormat="false" ht="15.75" hidden="false" customHeight="false" outlineLevel="0" collapsed="false">
      <c r="A290" s="11"/>
      <c r="B290" s="11"/>
      <c r="C290" s="11"/>
      <c r="D290" s="11"/>
      <c r="E290" s="11"/>
    </row>
    <row r="291" customFormat="false" ht="15.75" hidden="false" customHeight="false" outlineLevel="0" collapsed="false">
      <c r="A291" s="11"/>
      <c r="B291" s="11"/>
      <c r="C291" s="11"/>
      <c r="D291" s="11"/>
      <c r="E291" s="11"/>
    </row>
    <row r="292" customFormat="false" ht="15.75" hidden="false" customHeight="false" outlineLevel="0" collapsed="false">
      <c r="A292" s="11"/>
      <c r="B292" s="11"/>
      <c r="C292" s="11"/>
      <c r="D292" s="11"/>
      <c r="E292" s="11"/>
    </row>
    <row r="293" customFormat="false" ht="15.75" hidden="false" customHeight="false" outlineLevel="0" collapsed="false">
      <c r="A293" s="11"/>
      <c r="B293" s="11"/>
      <c r="C293" s="11"/>
      <c r="D293" s="11"/>
      <c r="E293" s="11"/>
    </row>
    <row r="294" customFormat="false" ht="15.75" hidden="false" customHeight="false" outlineLevel="0" collapsed="false">
      <c r="A294" s="11"/>
      <c r="B294" s="11"/>
      <c r="C294" s="11"/>
      <c r="D294" s="11"/>
      <c r="E294" s="11"/>
    </row>
    <row r="295" customFormat="false" ht="15.75" hidden="false" customHeight="false" outlineLevel="0" collapsed="false">
      <c r="A295" s="11"/>
      <c r="B295" s="11"/>
      <c r="C295" s="11"/>
      <c r="D295" s="11"/>
      <c r="E295" s="11"/>
    </row>
    <row r="296" customFormat="false" ht="15.75" hidden="false" customHeight="false" outlineLevel="0" collapsed="false">
      <c r="A296" s="11"/>
      <c r="B296" s="11"/>
      <c r="C296" s="11"/>
      <c r="D296" s="11"/>
      <c r="E296" s="11"/>
    </row>
    <row r="297" customFormat="false" ht="15.75" hidden="false" customHeight="false" outlineLevel="0" collapsed="false">
      <c r="A297" s="11"/>
      <c r="B297" s="11"/>
      <c r="C297" s="11"/>
      <c r="D297" s="11"/>
      <c r="E297" s="11"/>
    </row>
    <row r="298" customFormat="false" ht="15.75" hidden="false" customHeight="false" outlineLevel="0" collapsed="false">
      <c r="A298" s="11"/>
      <c r="B298" s="11"/>
      <c r="C298" s="11"/>
      <c r="D298" s="11"/>
      <c r="E298" s="11"/>
    </row>
    <row r="299" customFormat="false" ht="15.75" hidden="false" customHeight="false" outlineLevel="0" collapsed="false">
      <c r="A299" s="11"/>
      <c r="B299" s="11"/>
      <c r="C299" s="11"/>
      <c r="D299" s="11"/>
      <c r="E299" s="11"/>
    </row>
    <row r="300" customFormat="false" ht="15.75" hidden="false" customHeight="false" outlineLevel="0" collapsed="false">
      <c r="A300" s="11"/>
      <c r="B300" s="11"/>
      <c r="C300" s="11"/>
      <c r="D300" s="11"/>
      <c r="E300" s="11"/>
    </row>
    <row r="301" customFormat="false" ht="15.75" hidden="false" customHeight="false" outlineLevel="0" collapsed="false">
      <c r="A301" s="11"/>
      <c r="B301" s="11"/>
      <c r="C301" s="11"/>
      <c r="D301" s="11"/>
      <c r="E301" s="11"/>
    </row>
    <row r="302" customFormat="false" ht="15.75" hidden="false" customHeight="false" outlineLevel="0" collapsed="false">
      <c r="A302" s="11"/>
      <c r="B302" s="11"/>
      <c r="C302" s="11"/>
      <c r="D302" s="11"/>
      <c r="E302" s="11"/>
    </row>
    <row r="303" customFormat="false" ht="15.75" hidden="false" customHeight="false" outlineLevel="0" collapsed="false">
      <c r="A303" s="11"/>
      <c r="B303" s="11"/>
      <c r="C303" s="11"/>
      <c r="D303" s="11"/>
      <c r="E303" s="11"/>
    </row>
    <row r="304" customFormat="false" ht="15.75" hidden="false" customHeight="false" outlineLevel="0" collapsed="false">
      <c r="A304" s="11"/>
      <c r="B304" s="11"/>
      <c r="C304" s="11"/>
      <c r="D304" s="11"/>
      <c r="E304" s="11"/>
    </row>
    <row r="305" customFormat="false" ht="15.75" hidden="false" customHeight="false" outlineLevel="0" collapsed="false">
      <c r="A305" s="11"/>
      <c r="B305" s="11"/>
      <c r="C305" s="11"/>
      <c r="D305" s="11"/>
      <c r="E305" s="11"/>
    </row>
    <row r="306" customFormat="false" ht="15.75" hidden="false" customHeight="false" outlineLevel="0" collapsed="false">
      <c r="A306" s="11"/>
      <c r="B306" s="11"/>
      <c r="C306" s="11"/>
      <c r="D306" s="11"/>
      <c r="E306" s="11"/>
    </row>
    <row r="307" customFormat="false" ht="15.75" hidden="false" customHeight="false" outlineLevel="0" collapsed="false">
      <c r="A307" s="11"/>
      <c r="B307" s="11"/>
      <c r="C307" s="11"/>
      <c r="D307" s="11"/>
      <c r="E307" s="11"/>
    </row>
    <row r="308" customFormat="false" ht="15.75" hidden="false" customHeight="false" outlineLevel="0" collapsed="false">
      <c r="A308" s="11"/>
      <c r="B308" s="11"/>
      <c r="C308" s="11"/>
      <c r="D308" s="11"/>
      <c r="E308" s="11"/>
    </row>
    <row r="309" customFormat="false" ht="15.75" hidden="false" customHeight="false" outlineLevel="0" collapsed="false">
      <c r="A309" s="11"/>
      <c r="B309" s="11"/>
      <c r="C309" s="11"/>
      <c r="D309" s="11"/>
      <c r="E309" s="11"/>
    </row>
    <row r="310" customFormat="false" ht="15.75" hidden="false" customHeight="false" outlineLevel="0" collapsed="false">
      <c r="A310" s="11"/>
      <c r="B310" s="11"/>
      <c r="C310" s="11"/>
      <c r="D310" s="11"/>
      <c r="E310" s="11"/>
    </row>
    <row r="311" customFormat="false" ht="15.75" hidden="false" customHeight="false" outlineLevel="0" collapsed="false">
      <c r="A311" s="11"/>
      <c r="B311" s="11"/>
      <c r="C311" s="11"/>
      <c r="D311" s="11"/>
      <c r="E311" s="11"/>
    </row>
    <row r="312" customFormat="false" ht="15.75" hidden="false" customHeight="false" outlineLevel="0" collapsed="false">
      <c r="A312" s="11"/>
      <c r="B312" s="11"/>
      <c r="C312" s="11"/>
      <c r="D312" s="11"/>
      <c r="E312" s="11"/>
    </row>
    <row r="313" customFormat="false" ht="15.75" hidden="false" customHeight="false" outlineLevel="0" collapsed="false">
      <c r="A313" s="11"/>
      <c r="B313" s="11"/>
      <c r="C313" s="11"/>
      <c r="D313" s="11"/>
      <c r="E313" s="11"/>
    </row>
    <row r="314" customFormat="false" ht="15.75" hidden="false" customHeight="false" outlineLevel="0" collapsed="false">
      <c r="A314" s="11"/>
      <c r="B314" s="11"/>
      <c r="C314" s="11"/>
      <c r="D314" s="11"/>
      <c r="E314" s="11"/>
    </row>
    <row r="315" customFormat="false" ht="15.75" hidden="false" customHeight="false" outlineLevel="0" collapsed="false">
      <c r="A315" s="11"/>
      <c r="B315" s="11"/>
      <c r="C315" s="11"/>
      <c r="D315" s="11"/>
      <c r="E315" s="11"/>
    </row>
    <row r="316" customFormat="false" ht="15.75" hidden="false" customHeight="false" outlineLevel="0" collapsed="false">
      <c r="A316" s="11"/>
      <c r="B316" s="11"/>
      <c r="C316" s="11"/>
      <c r="D316" s="11"/>
      <c r="E316" s="11"/>
    </row>
    <row r="317" customFormat="false" ht="15.75" hidden="false" customHeight="false" outlineLevel="0" collapsed="false">
      <c r="A317" s="11"/>
      <c r="B317" s="11"/>
      <c r="C317" s="11"/>
      <c r="D317" s="11"/>
      <c r="E317" s="11"/>
    </row>
    <row r="318" customFormat="false" ht="15.75" hidden="false" customHeight="false" outlineLevel="0" collapsed="false">
      <c r="A318" s="11"/>
      <c r="B318" s="11"/>
      <c r="C318" s="11"/>
      <c r="D318" s="11"/>
      <c r="E318" s="11"/>
    </row>
    <row r="319" customFormat="false" ht="15.75" hidden="false" customHeight="false" outlineLevel="0" collapsed="false">
      <c r="A319" s="11"/>
      <c r="B319" s="11"/>
      <c r="C319" s="11"/>
      <c r="D319" s="11"/>
      <c r="E319" s="11"/>
    </row>
    <row r="320" customFormat="false" ht="15.75" hidden="false" customHeight="false" outlineLevel="0" collapsed="false">
      <c r="A320" s="11"/>
      <c r="B320" s="11"/>
      <c r="C320" s="11"/>
      <c r="D320" s="11"/>
      <c r="E320" s="11"/>
    </row>
    <row r="321" customFormat="false" ht="15.75" hidden="false" customHeight="false" outlineLevel="0" collapsed="false">
      <c r="A321" s="11"/>
      <c r="B321" s="11"/>
      <c r="C321" s="11"/>
      <c r="D321" s="11"/>
      <c r="E321" s="11"/>
    </row>
    <row r="322" customFormat="false" ht="15.75" hidden="false" customHeight="false" outlineLevel="0" collapsed="false">
      <c r="A322" s="11"/>
      <c r="B322" s="11"/>
      <c r="C322" s="11"/>
      <c r="D322" s="11"/>
      <c r="E322" s="11"/>
    </row>
    <row r="323" customFormat="false" ht="15.75" hidden="false" customHeight="false" outlineLevel="0" collapsed="false">
      <c r="A323" s="11"/>
      <c r="B323" s="11"/>
      <c r="C323" s="11"/>
      <c r="D323" s="11"/>
      <c r="E323" s="11"/>
    </row>
    <row r="324" customFormat="false" ht="15.75" hidden="false" customHeight="false" outlineLevel="0" collapsed="false">
      <c r="A324" s="11"/>
      <c r="B324" s="11"/>
      <c r="C324" s="11"/>
      <c r="D324" s="11"/>
      <c r="E324" s="11"/>
    </row>
    <row r="325" customFormat="false" ht="15.75" hidden="false" customHeight="false" outlineLevel="0" collapsed="false">
      <c r="A325" s="11"/>
      <c r="B325" s="11"/>
      <c r="C325" s="11"/>
      <c r="D325" s="11"/>
      <c r="E325" s="11"/>
    </row>
    <row r="326" customFormat="false" ht="15.75" hidden="false" customHeight="false" outlineLevel="0" collapsed="false">
      <c r="A326" s="11"/>
      <c r="B326" s="11"/>
      <c r="C326" s="11"/>
      <c r="D326" s="11"/>
      <c r="E326" s="11"/>
    </row>
    <row r="327" customFormat="false" ht="15.75" hidden="false" customHeight="false" outlineLevel="0" collapsed="false">
      <c r="A327" s="11"/>
      <c r="B327" s="11"/>
      <c r="C327" s="11"/>
      <c r="D327" s="11"/>
      <c r="E327" s="11"/>
    </row>
    <row r="328" customFormat="false" ht="15.75" hidden="false" customHeight="false" outlineLevel="0" collapsed="false">
      <c r="A328" s="11"/>
      <c r="B328" s="11"/>
      <c r="C328" s="11"/>
      <c r="D328" s="11"/>
      <c r="E328" s="11"/>
    </row>
    <row r="329" customFormat="false" ht="15.75" hidden="false" customHeight="false" outlineLevel="0" collapsed="false">
      <c r="A329" s="11"/>
      <c r="B329" s="11"/>
      <c r="C329" s="11"/>
      <c r="D329" s="11"/>
      <c r="E329" s="11"/>
    </row>
    <row r="330" customFormat="false" ht="15.75" hidden="false" customHeight="false" outlineLevel="0" collapsed="false">
      <c r="A330" s="11"/>
      <c r="B330" s="11"/>
      <c r="C330" s="11"/>
      <c r="D330" s="11"/>
      <c r="E330" s="11"/>
    </row>
    <row r="331" customFormat="false" ht="15.75" hidden="false" customHeight="false" outlineLevel="0" collapsed="false">
      <c r="A331" s="11"/>
      <c r="B331" s="11"/>
      <c r="C331" s="11"/>
      <c r="D331" s="11"/>
      <c r="E331" s="11"/>
    </row>
    <row r="332" customFormat="false" ht="15.75" hidden="false" customHeight="false" outlineLevel="0" collapsed="false">
      <c r="A332" s="11"/>
      <c r="B332" s="11"/>
      <c r="C332" s="11"/>
      <c r="D332" s="11"/>
      <c r="E332" s="11"/>
    </row>
    <row r="333" customFormat="false" ht="15.75" hidden="false" customHeight="false" outlineLevel="0" collapsed="false">
      <c r="A333" s="11"/>
      <c r="B333" s="11"/>
      <c r="C333" s="11"/>
      <c r="D333" s="11"/>
      <c r="E333" s="11"/>
    </row>
    <row r="334" customFormat="false" ht="15.75" hidden="false" customHeight="false" outlineLevel="0" collapsed="false">
      <c r="A334" s="11"/>
      <c r="B334" s="11"/>
      <c r="C334" s="11"/>
      <c r="D334" s="11"/>
      <c r="E334" s="11"/>
    </row>
    <row r="335" customFormat="false" ht="15.75" hidden="false" customHeight="false" outlineLevel="0" collapsed="false">
      <c r="A335" s="11"/>
      <c r="B335" s="11"/>
      <c r="C335" s="11"/>
      <c r="D335" s="11"/>
      <c r="E335" s="11"/>
    </row>
    <row r="336" customFormat="false" ht="15.75" hidden="false" customHeight="false" outlineLevel="0" collapsed="false">
      <c r="A336" s="11"/>
      <c r="B336" s="11"/>
      <c r="C336" s="11"/>
      <c r="D336" s="11"/>
      <c r="E336" s="11"/>
    </row>
    <row r="337" customFormat="false" ht="15.75" hidden="false" customHeight="false" outlineLevel="0" collapsed="false">
      <c r="A337" s="11"/>
      <c r="B337" s="11"/>
      <c r="C337" s="11"/>
      <c r="D337" s="11"/>
      <c r="E337" s="11"/>
    </row>
    <row r="338" customFormat="false" ht="15.75" hidden="false" customHeight="false" outlineLevel="0" collapsed="false">
      <c r="A338" s="11"/>
      <c r="B338" s="11"/>
      <c r="C338" s="11"/>
      <c r="D338" s="11"/>
      <c r="E338" s="11"/>
    </row>
    <row r="339" customFormat="false" ht="15.75" hidden="false" customHeight="false" outlineLevel="0" collapsed="false">
      <c r="A339" s="11"/>
      <c r="B339" s="11"/>
      <c r="C339" s="11"/>
      <c r="D339" s="11"/>
      <c r="E339" s="11"/>
    </row>
    <row r="340" customFormat="false" ht="15.75" hidden="false" customHeight="false" outlineLevel="0" collapsed="false">
      <c r="A340" s="11"/>
      <c r="B340" s="11"/>
      <c r="C340" s="11"/>
      <c r="D340" s="11"/>
      <c r="E340" s="11"/>
    </row>
    <row r="341" customFormat="false" ht="15.75" hidden="false" customHeight="false" outlineLevel="0" collapsed="false">
      <c r="A341" s="11"/>
      <c r="B341" s="11"/>
      <c r="C341" s="11"/>
      <c r="D341" s="11"/>
      <c r="E341" s="11"/>
    </row>
    <row r="342" customFormat="false" ht="15.75" hidden="false" customHeight="false" outlineLevel="0" collapsed="false">
      <c r="A342" s="11"/>
      <c r="B342" s="11"/>
      <c r="C342" s="11"/>
      <c r="D342" s="11"/>
      <c r="E342" s="11"/>
    </row>
    <row r="343" customFormat="false" ht="15.75" hidden="false" customHeight="false" outlineLevel="0" collapsed="false">
      <c r="A343" s="11"/>
      <c r="B343" s="11"/>
      <c r="C343" s="11"/>
      <c r="D343" s="11"/>
      <c r="E343" s="11"/>
    </row>
    <row r="344" customFormat="false" ht="15.75" hidden="false" customHeight="false" outlineLevel="0" collapsed="false">
      <c r="A344" s="11"/>
      <c r="B344" s="11"/>
      <c r="C344" s="11"/>
      <c r="D344" s="11"/>
      <c r="E344" s="11"/>
    </row>
    <row r="345" customFormat="false" ht="15.75" hidden="false" customHeight="false" outlineLevel="0" collapsed="false">
      <c r="A345" s="11"/>
      <c r="B345" s="11"/>
      <c r="C345" s="11"/>
      <c r="D345" s="11"/>
      <c r="E345" s="11"/>
    </row>
    <row r="346" customFormat="false" ht="15.75" hidden="false" customHeight="false" outlineLevel="0" collapsed="false">
      <c r="A346" s="11"/>
      <c r="B346" s="11"/>
      <c r="C346" s="11"/>
      <c r="D346" s="11"/>
      <c r="E346" s="11"/>
    </row>
    <row r="347" customFormat="false" ht="15.75" hidden="false" customHeight="false" outlineLevel="0" collapsed="false">
      <c r="A347" s="11"/>
      <c r="B347" s="11"/>
      <c r="C347" s="11"/>
      <c r="D347" s="11"/>
      <c r="E347" s="11"/>
    </row>
    <row r="348" customFormat="false" ht="15.75" hidden="false" customHeight="false" outlineLevel="0" collapsed="false">
      <c r="A348" s="11"/>
      <c r="B348" s="11"/>
      <c r="C348" s="11"/>
      <c r="D348" s="11"/>
      <c r="E348" s="11"/>
    </row>
    <row r="349" customFormat="false" ht="15.75" hidden="false" customHeight="false" outlineLevel="0" collapsed="false">
      <c r="A349" s="11"/>
      <c r="B349" s="11"/>
      <c r="C349" s="11"/>
      <c r="D349" s="11"/>
      <c r="E349" s="11"/>
    </row>
    <row r="350" customFormat="false" ht="15.75" hidden="false" customHeight="false" outlineLevel="0" collapsed="false">
      <c r="A350" s="11"/>
      <c r="B350" s="11"/>
      <c r="C350" s="11"/>
      <c r="D350" s="11"/>
      <c r="E350" s="11"/>
    </row>
    <row r="351" customFormat="false" ht="15.75" hidden="false" customHeight="false" outlineLevel="0" collapsed="false">
      <c r="A351" s="11"/>
      <c r="B351" s="11"/>
      <c r="C351" s="11"/>
      <c r="D351" s="11"/>
      <c r="E351" s="11"/>
    </row>
    <row r="352" customFormat="false" ht="15.75" hidden="false" customHeight="false" outlineLevel="0" collapsed="false">
      <c r="A352" s="11"/>
      <c r="B352" s="11"/>
      <c r="C352" s="11"/>
      <c r="D352" s="11"/>
      <c r="E352" s="11"/>
    </row>
    <row r="353" customFormat="false" ht="15.75" hidden="false" customHeight="false" outlineLevel="0" collapsed="false">
      <c r="A353" s="11"/>
      <c r="B353" s="11"/>
      <c r="C353" s="11"/>
      <c r="D353" s="11"/>
      <c r="E353" s="11"/>
    </row>
    <row r="354" customFormat="false" ht="15.75" hidden="false" customHeight="false" outlineLevel="0" collapsed="false">
      <c r="A354" s="11"/>
      <c r="B354" s="11"/>
      <c r="C354" s="11"/>
      <c r="D354" s="11"/>
      <c r="E354" s="11"/>
    </row>
    <row r="355" customFormat="false" ht="15.75" hidden="false" customHeight="false" outlineLevel="0" collapsed="false">
      <c r="A355" s="11"/>
      <c r="B355" s="11"/>
      <c r="C355" s="11"/>
      <c r="D355" s="11"/>
      <c r="E355" s="11"/>
    </row>
    <row r="356" customFormat="false" ht="15.75" hidden="false" customHeight="false" outlineLevel="0" collapsed="false">
      <c r="A356" s="11"/>
      <c r="B356" s="11"/>
      <c r="C356" s="11"/>
      <c r="D356" s="11"/>
      <c r="E356" s="11"/>
    </row>
    <row r="357" customFormat="false" ht="15.75" hidden="false" customHeight="false" outlineLevel="0" collapsed="false">
      <c r="A357" s="11"/>
      <c r="B357" s="11"/>
      <c r="C357" s="11"/>
      <c r="D357" s="11"/>
      <c r="E357" s="11"/>
    </row>
    <row r="358" customFormat="false" ht="15.75" hidden="false" customHeight="false" outlineLevel="0" collapsed="false">
      <c r="A358" s="11"/>
      <c r="B358" s="11"/>
      <c r="C358" s="11"/>
      <c r="D358" s="11"/>
      <c r="E358" s="11"/>
    </row>
    <row r="359" customFormat="false" ht="15.75" hidden="false" customHeight="false" outlineLevel="0" collapsed="false">
      <c r="A359" s="11"/>
      <c r="B359" s="11"/>
      <c r="C359" s="11"/>
      <c r="D359" s="11"/>
      <c r="E359" s="11"/>
    </row>
    <row r="360" customFormat="false" ht="15.75" hidden="false" customHeight="false" outlineLevel="0" collapsed="false">
      <c r="A360" s="11"/>
      <c r="B360" s="11"/>
      <c r="C360" s="11"/>
      <c r="D360" s="11"/>
      <c r="E360" s="11"/>
    </row>
    <row r="361" customFormat="false" ht="15.75" hidden="false" customHeight="false" outlineLevel="0" collapsed="false">
      <c r="A361" s="11"/>
      <c r="B361" s="11"/>
      <c r="C361" s="11"/>
      <c r="D361" s="11"/>
      <c r="E361" s="11"/>
    </row>
    <row r="362" customFormat="false" ht="15.75" hidden="false" customHeight="false" outlineLevel="0" collapsed="false">
      <c r="A362" s="11"/>
      <c r="B362" s="11"/>
      <c r="C362" s="11"/>
      <c r="D362" s="11"/>
      <c r="E362" s="11"/>
    </row>
    <row r="363" customFormat="false" ht="15.75" hidden="false" customHeight="false" outlineLevel="0" collapsed="false">
      <c r="A363" s="11"/>
      <c r="B363" s="11"/>
      <c r="C363" s="11"/>
      <c r="D363" s="11"/>
      <c r="E363" s="11"/>
    </row>
    <row r="364" customFormat="false" ht="15.75" hidden="false" customHeight="false" outlineLevel="0" collapsed="false">
      <c r="A364" s="11"/>
      <c r="B364" s="11"/>
      <c r="C364" s="11"/>
      <c r="D364" s="11"/>
      <c r="E364" s="11"/>
    </row>
    <row r="365" customFormat="false" ht="15.75" hidden="false" customHeight="false" outlineLevel="0" collapsed="false">
      <c r="A365" s="11"/>
      <c r="B365" s="11"/>
      <c r="C365" s="11"/>
      <c r="D365" s="11"/>
      <c r="E365" s="11"/>
    </row>
    <row r="366" customFormat="false" ht="15.75" hidden="false" customHeight="false" outlineLevel="0" collapsed="false">
      <c r="A366" s="11"/>
      <c r="B366" s="11"/>
      <c r="C366" s="11"/>
      <c r="D366" s="11"/>
      <c r="E366" s="11"/>
    </row>
    <row r="367" customFormat="false" ht="15.75" hidden="false" customHeight="false" outlineLevel="0" collapsed="false">
      <c r="A367" s="11"/>
      <c r="B367" s="11"/>
      <c r="C367" s="11"/>
      <c r="D367" s="11"/>
      <c r="E367" s="11"/>
    </row>
    <row r="368" customFormat="false" ht="15.75" hidden="false" customHeight="false" outlineLevel="0" collapsed="false">
      <c r="A368" s="11"/>
      <c r="B368" s="11"/>
      <c r="C368" s="11"/>
      <c r="D368" s="11"/>
      <c r="E368" s="11"/>
    </row>
    <row r="369" customFormat="false" ht="15.75" hidden="false" customHeight="false" outlineLevel="0" collapsed="false">
      <c r="A369" s="11"/>
      <c r="B369" s="11"/>
      <c r="C369" s="11"/>
      <c r="D369" s="11"/>
      <c r="E369" s="11"/>
    </row>
    <row r="370" customFormat="false" ht="15.75" hidden="false" customHeight="false" outlineLevel="0" collapsed="false">
      <c r="A370" s="11"/>
      <c r="B370" s="11"/>
      <c r="C370" s="11"/>
      <c r="D370" s="11"/>
      <c r="E370" s="11"/>
    </row>
    <row r="371" customFormat="false" ht="15.75" hidden="false" customHeight="false" outlineLevel="0" collapsed="false">
      <c r="A371" s="11"/>
      <c r="B371" s="11"/>
      <c r="C371" s="11"/>
      <c r="D371" s="11"/>
      <c r="E371" s="11"/>
    </row>
    <row r="372" customFormat="false" ht="15.75" hidden="false" customHeight="false" outlineLevel="0" collapsed="false">
      <c r="A372" s="11"/>
      <c r="B372" s="11"/>
      <c r="C372" s="11"/>
      <c r="D372" s="11"/>
      <c r="E372" s="11"/>
    </row>
    <row r="373" customFormat="false" ht="15.75" hidden="false" customHeight="false" outlineLevel="0" collapsed="false">
      <c r="A373" s="11"/>
      <c r="B373" s="11"/>
      <c r="C373" s="11"/>
      <c r="D373" s="11"/>
      <c r="E373" s="11"/>
    </row>
    <row r="374" customFormat="false" ht="15.75" hidden="false" customHeight="false" outlineLevel="0" collapsed="false">
      <c r="A374" s="11"/>
      <c r="B374" s="11"/>
      <c r="C374" s="11"/>
      <c r="D374" s="11"/>
      <c r="E374" s="11"/>
    </row>
    <row r="375" customFormat="false" ht="15.75" hidden="false" customHeight="false" outlineLevel="0" collapsed="false">
      <c r="A375" s="11"/>
      <c r="B375" s="11"/>
      <c r="C375" s="11"/>
      <c r="D375" s="11"/>
      <c r="E375" s="11"/>
    </row>
    <row r="376" customFormat="false" ht="15.75" hidden="false" customHeight="false" outlineLevel="0" collapsed="false">
      <c r="A376" s="11"/>
      <c r="B376" s="11"/>
      <c r="C376" s="11"/>
      <c r="D376" s="11"/>
      <c r="E376" s="11"/>
    </row>
    <row r="377" customFormat="false" ht="15.75" hidden="false" customHeight="false" outlineLevel="0" collapsed="false">
      <c r="A377" s="11"/>
      <c r="B377" s="11"/>
      <c r="C377" s="11"/>
      <c r="D377" s="11"/>
      <c r="E377" s="11"/>
    </row>
    <row r="378" customFormat="false" ht="15.75" hidden="false" customHeight="false" outlineLevel="0" collapsed="false">
      <c r="A378" s="11"/>
      <c r="B378" s="11"/>
      <c r="C378" s="11"/>
      <c r="D378" s="11"/>
      <c r="E378" s="11"/>
    </row>
    <row r="379" customFormat="false" ht="15.75" hidden="false" customHeight="false" outlineLevel="0" collapsed="false">
      <c r="A379" s="11"/>
      <c r="B379" s="11"/>
      <c r="C379" s="11"/>
      <c r="D379" s="11"/>
      <c r="E379" s="11"/>
    </row>
    <row r="380" customFormat="false" ht="15.75" hidden="false" customHeight="false" outlineLevel="0" collapsed="false">
      <c r="A380" s="11"/>
      <c r="B380" s="11"/>
      <c r="C380" s="11"/>
      <c r="D380" s="11"/>
      <c r="E380" s="11"/>
    </row>
    <row r="381" customFormat="false" ht="15.75" hidden="false" customHeight="false" outlineLevel="0" collapsed="false">
      <c r="A381" s="11"/>
      <c r="B381" s="11"/>
      <c r="C381" s="11"/>
      <c r="D381" s="11"/>
      <c r="E381" s="11"/>
    </row>
    <row r="382" customFormat="false" ht="15.75" hidden="false" customHeight="false" outlineLevel="0" collapsed="false">
      <c r="A382" s="11"/>
      <c r="B382" s="11"/>
      <c r="C382" s="11"/>
      <c r="D382" s="11"/>
      <c r="E382" s="11"/>
    </row>
    <row r="383" customFormat="false" ht="15.75" hidden="false" customHeight="false" outlineLevel="0" collapsed="false">
      <c r="A383" s="11"/>
      <c r="B383" s="11"/>
      <c r="C383" s="11"/>
      <c r="D383" s="11"/>
      <c r="E383" s="11"/>
    </row>
    <row r="384" customFormat="false" ht="15.75" hidden="false" customHeight="false" outlineLevel="0" collapsed="false">
      <c r="A384" s="11"/>
      <c r="B384" s="11"/>
      <c r="C384" s="11"/>
      <c r="D384" s="11"/>
      <c r="E384" s="11"/>
    </row>
    <row r="385" customFormat="false" ht="15.75" hidden="false" customHeight="false" outlineLevel="0" collapsed="false">
      <c r="A385" s="11"/>
      <c r="B385" s="11"/>
      <c r="C385" s="11"/>
      <c r="D385" s="11"/>
      <c r="E385" s="11"/>
    </row>
    <row r="386" customFormat="false" ht="15.75" hidden="false" customHeight="false" outlineLevel="0" collapsed="false">
      <c r="A386" s="11"/>
      <c r="B386" s="11"/>
      <c r="C386" s="11"/>
      <c r="D386" s="11"/>
      <c r="E386" s="11"/>
    </row>
    <row r="387" customFormat="false" ht="15.75" hidden="false" customHeight="false" outlineLevel="0" collapsed="false">
      <c r="A387" s="11"/>
      <c r="B387" s="11"/>
      <c r="C387" s="11"/>
      <c r="D387" s="11"/>
      <c r="E387" s="11"/>
    </row>
    <row r="388" customFormat="false" ht="15.75" hidden="false" customHeight="false" outlineLevel="0" collapsed="false">
      <c r="A388" s="11"/>
      <c r="B388" s="11"/>
      <c r="C388" s="11"/>
      <c r="D388" s="11"/>
      <c r="E388" s="11"/>
    </row>
    <row r="389" customFormat="false" ht="15.75" hidden="false" customHeight="false" outlineLevel="0" collapsed="false">
      <c r="A389" s="11"/>
      <c r="B389" s="11"/>
      <c r="C389" s="11"/>
      <c r="D389" s="11"/>
      <c r="E389" s="11"/>
    </row>
    <row r="390" customFormat="false" ht="15.75" hidden="false" customHeight="false" outlineLevel="0" collapsed="false">
      <c r="A390" s="11"/>
      <c r="B390" s="11"/>
      <c r="C390" s="11"/>
      <c r="D390" s="11"/>
      <c r="E390" s="11"/>
    </row>
    <row r="391" customFormat="false" ht="15.75" hidden="false" customHeight="false" outlineLevel="0" collapsed="false">
      <c r="A391" s="11"/>
      <c r="B391" s="11"/>
      <c r="C391" s="11"/>
      <c r="D391" s="11"/>
      <c r="E391" s="11"/>
    </row>
    <row r="392" customFormat="false" ht="15.75" hidden="false" customHeight="false" outlineLevel="0" collapsed="false">
      <c r="A392" s="11"/>
      <c r="B392" s="11"/>
      <c r="C392" s="11"/>
      <c r="D392" s="11"/>
      <c r="E392" s="11"/>
    </row>
    <row r="393" customFormat="false" ht="15.75" hidden="false" customHeight="false" outlineLevel="0" collapsed="false">
      <c r="A393" s="11"/>
      <c r="B393" s="11"/>
      <c r="C393" s="11"/>
      <c r="D393" s="11"/>
      <c r="E393" s="11"/>
    </row>
    <row r="394" customFormat="false" ht="15.75" hidden="false" customHeight="false" outlineLevel="0" collapsed="false">
      <c r="A394" s="11"/>
      <c r="B394" s="11"/>
      <c r="C394" s="11"/>
      <c r="D394" s="11"/>
      <c r="E394" s="11"/>
    </row>
    <row r="395" customFormat="false" ht="15.75" hidden="false" customHeight="false" outlineLevel="0" collapsed="false">
      <c r="A395" s="11"/>
      <c r="B395" s="11"/>
      <c r="C395" s="11"/>
      <c r="D395" s="11"/>
      <c r="E395" s="11"/>
    </row>
    <row r="396" customFormat="false" ht="15.75" hidden="false" customHeight="false" outlineLevel="0" collapsed="false">
      <c r="A396" s="11"/>
      <c r="B396" s="11"/>
      <c r="C396" s="11"/>
      <c r="D396" s="11"/>
      <c r="E396" s="11"/>
    </row>
    <row r="397" customFormat="false" ht="15.75" hidden="false" customHeight="false" outlineLevel="0" collapsed="false">
      <c r="A397" s="11"/>
      <c r="B397" s="11"/>
      <c r="C397" s="11"/>
      <c r="D397" s="11"/>
      <c r="E397" s="11"/>
    </row>
    <row r="398" customFormat="false" ht="15.75" hidden="false" customHeight="false" outlineLevel="0" collapsed="false">
      <c r="A398" s="11"/>
      <c r="B398" s="11"/>
      <c r="C398" s="11"/>
      <c r="D398" s="11"/>
      <c r="E398" s="11"/>
    </row>
    <row r="399" customFormat="false" ht="15.75" hidden="false" customHeight="false" outlineLevel="0" collapsed="false">
      <c r="A399" s="11"/>
      <c r="B399" s="11"/>
      <c r="C399" s="11"/>
      <c r="D399" s="11"/>
      <c r="E399" s="11"/>
    </row>
    <row r="400" customFormat="false" ht="15.75" hidden="false" customHeight="false" outlineLevel="0" collapsed="false">
      <c r="A400" s="11"/>
      <c r="B400" s="11"/>
      <c r="C400" s="11"/>
      <c r="D400" s="11"/>
      <c r="E400" s="11"/>
    </row>
    <row r="401" customFormat="false" ht="15.75" hidden="false" customHeight="false" outlineLevel="0" collapsed="false">
      <c r="A401" s="11"/>
      <c r="B401" s="11"/>
      <c r="C401" s="11"/>
      <c r="D401" s="11"/>
      <c r="E401" s="11"/>
    </row>
    <row r="402" customFormat="false" ht="15.75" hidden="false" customHeight="false" outlineLevel="0" collapsed="false">
      <c r="A402" s="11"/>
      <c r="B402" s="11"/>
      <c r="C402" s="11"/>
      <c r="D402" s="11"/>
      <c r="E402" s="11"/>
    </row>
    <row r="403" customFormat="false" ht="15.75" hidden="false" customHeight="false" outlineLevel="0" collapsed="false">
      <c r="A403" s="11"/>
      <c r="B403" s="11"/>
      <c r="C403" s="11"/>
      <c r="D403" s="11"/>
      <c r="E403" s="11"/>
    </row>
    <row r="404" customFormat="false" ht="15.75" hidden="false" customHeight="false" outlineLevel="0" collapsed="false">
      <c r="A404" s="11"/>
      <c r="B404" s="11"/>
      <c r="C404" s="11"/>
      <c r="D404" s="11"/>
      <c r="E404" s="11"/>
    </row>
    <row r="405" customFormat="false" ht="15.75" hidden="false" customHeight="false" outlineLevel="0" collapsed="false">
      <c r="A405" s="11"/>
      <c r="B405" s="11"/>
      <c r="C405" s="11"/>
      <c r="D405" s="11"/>
      <c r="E405" s="11"/>
    </row>
    <row r="406" customFormat="false" ht="15.75" hidden="false" customHeight="false" outlineLevel="0" collapsed="false">
      <c r="A406" s="11"/>
      <c r="B406" s="11"/>
      <c r="C406" s="11"/>
      <c r="D406" s="11"/>
      <c r="E406" s="11"/>
    </row>
    <row r="407" customFormat="false" ht="15.75" hidden="false" customHeight="false" outlineLevel="0" collapsed="false">
      <c r="A407" s="11"/>
      <c r="B407" s="11"/>
      <c r="C407" s="11"/>
      <c r="D407" s="11"/>
      <c r="E407" s="11"/>
    </row>
    <row r="408" customFormat="false" ht="15.75" hidden="false" customHeight="false" outlineLevel="0" collapsed="false">
      <c r="A408" s="11"/>
      <c r="B408" s="11"/>
      <c r="C408" s="11"/>
      <c r="D408" s="11"/>
      <c r="E408" s="11"/>
    </row>
    <row r="409" customFormat="false" ht="15.75" hidden="false" customHeight="false" outlineLevel="0" collapsed="false">
      <c r="A409" s="11"/>
      <c r="B409" s="11"/>
      <c r="C409" s="11"/>
      <c r="D409" s="11"/>
      <c r="E409" s="11"/>
    </row>
    <row r="410" customFormat="false" ht="15.75" hidden="false" customHeight="false" outlineLevel="0" collapsed="false">
      <c r="A410" s="11"/>
      <c r="B410" s="11"/>
      <c r="C410" s="11"/>
      <c r="D410" s="11"/>
      <c r="E410" s="11"/>
    </row>
    <row r="411" customFormat="false" ht="15.75" hidden="false" customHeight="false" outlineLevel="0" collapsed="false">
      <c r="A411" s="11"/>
      <c r="B411" s="11"/>
      <c r="C411" s="11"/>
      <c r="D411" s="11"/>
      <c r="E411" s="11"/>
    </row>
    <row r="412" customFormat="false" ht="15.75" hidden="false" customHeight="false" outlineLevel="0" collapsed="false">
      <c r="A412" s="11"/>
      <c r="B412" s="11"/>
      <c r="C412" s="11"/>
      <c r="D412" s="11"/>
      <c r="E412" s="11"/>
    </row>
    <row r="413" customFormat="false" ht="15.75" hidden="false" customHeight="false" outlineLevel="0" collapsed="false">
      <c r="A413" s="11"/>
      <c r="B413" s="11"/>
      <c r="C413" s="11"/>
      <c r="D413" s="11"/>
      <c r="E413" s="11"/>
    </row>
    <row r="414" customFormat="false" ht="15.75" hidden="false" customHeight="false" outlineLevel="0" collapsed="false">
      <c r="A414" s="11"/>
      <c r="B414" s="11"/>
      <c r="C414" s="11"/>
      <c r="D414" s="11"/>
      <c r="E414" s="11"/>
    </row>
    <row r="415" customFormat="false" ht="15.75" hidden="false" customHeight="false" outlineLevel="0" collapsed="false">
      <c r="A415" s="11"/>
      <c r="B415" s="11"/>
      <c r="C415" s="11"/>
      <c r="D415" s="11"/>
      <c r="E415" s="11"/>
    </row>
    <row r="416" customFormat="false" ht="15.75" hidden="false" customHeight="false" outlineLevel="0" collapsed="false">
      <c r="A416" s="11"/>
      <c r="B416" s="11"/>
      <c r="C416" s="11"/>
      <c r="D416" s="11"/>
      <c r="E416" s="11"/>
    </row>
    <row r="417" customFormat="false" ht="15.75" hidden="false" customHeight="false" outlineLevel="0" collapsed="false">
      <c r="A417" s="11"/>
      <c r="B417" s="11"/>
      <c r="C417" s="11"/>
      <c r="D417" s="11"/>
      <c r="E417" s="11"/>
    </row>
    <row r="418" customFormat="false" ht="15.75" hidden="false" customHeight="false" outlineLevel="0" collapsed="false">
      <c r="A418" s="11"/>
      <c r="B418" s="11"/>
      <c r="C418" s="11"/>
      <c r="D418" s="11"/>
      <c r="E418" s="11"/>
    </row>
    <row r="419" customFormat="false" ht="15.75" hidden="false" customHeight="false" outlineLevel="0" collapsed="false">
      <c r="A419" s="11"/>
      <c r="B419" s="11"/>
      <c r="C419" s="11"/>
      <c r="D419" s="11"/>
      <c r="E419" s="11"/>
    </row>
    <row r="420" customFormat="false" ht="15.75" hidden="false" customHeight="false" outlineLevel="0" collapsed="false">
      <c r="A420" s="11"/>
      <c r="B420" s="11"/>
      <c r="C420" s="11"/>
      <c r="D420" s="11"/>
      <c r="E420" s="11"/>
    </row>
    <row r="421" customFormat="false" ht="15.75" hidden="false" customHeight="false" outlineLevel="0" collapsed="false">
      <c r="A421" s="11"/>
      <c r="B421" s="11"/>
      <c r="C421" s="11"/>
      <c r="D421" s="11"/>
      <c r="E421" s="11"/>
    </row>
    <row r="422" customFormat="false" ht="15.75" hidden="false" customHeight="false" outlineLevel="0" collapsed="false">
      <c r="A422" s="11"/>
      <c r="B422" s="11"/>
      <c r="C422" s="11"/>
      <c r="D422" s="11"/>
      <c r="E422" s="11"/>
    </row>
    <row r="423" customFormat="false" ht="15.75" hidden="false" customHeight="false" outlineLevel="0" collapsed="false">
      <c r="A423" s="11"/>
      <c r="B423" s="11"/>
      <c r="C423" s="11"/>
      <c r="D423" s="11"/>
      <c r="E423" s="11"/>
    </row>
    <row r="424" customFormat="false" ht="15.75" hidden="false" customHeight="false" outlineLevel="0" collapsed="false">
      <c r="A424" s="11"/>
      <c r="B424" s="11"/>
      <c r="C424" s="11"/>
      <c r="D424" s="11"/>
      <c r="E424" s="11"/>
    </row>
    <row r="425" customFormat="false" ht="15.75" hidden="false" customHeight="false" outlineLevel="0" collapsed="false">
      <c r="A425" s="11"/>
      <c r="B425" s="11"/>
      <c r="C425" s="11"/>
      <c r="D425" s="11"/>
      <c r="E425" s="11"/>
    </row>
    <row r="426" customFormat="false" ht="15.75" hidden="false" customHeight="false" outlineLevel="0" collapsed="false">
      <c r="A426" s="11"/>
      <c r="B426" s="11"/>
      <c r="C426" s="11"/>
      <c r="D426" s="11"/>
      <c r="E426" s="11"/>
    </row>
    <row r="427" customFormat="false" ht="15.75" hidden="false" customHeight="false" outlineLevel="0" collapsed="false">
      <c r="A427" s="11"/>
      <c r="B427" s="11"/>
      <c r="C427" s="11"/>
      <c r="D427" s="11"/>
      <c r="E427" s="11"/>
    </row>
    <row r="428" customFormat="false" ht="15.75" hidden="false" customHeight="false" outlineLevel="0" collapsed="false">
      <c r="A428" s="11"/>
      <c r="B428" s="11"/>
      <c r="C428" s="11"/>
      <c r="D428" s="11"/>
      <c r="E428" s="11"/>
    </row>
    <row r="429" customFormat="false" ht="15.75" hidden="false" customHeight="false" outlineLevel="0" collapsed="false">
      <c r="A429" s="11"/>
      <c r="B429" s="11"/>
      <c r="C429" s="11"/>
      <c r="D429" s="11"/>
      <c r="E429" s="11"/>
    </row>
    <row r="430" customFormat="false" ht="15.75" hidden="false" customHeight="false" outlineLevel="0" collapsed="false">
      <c r="A430" s="11"/>
      <c r="B430" s="11"/>
      <c r="C430" s="11"/>
      <c r="D430" s="11"/>
      <c r="E430" s="11"/>
    </row>
    <row r="431" customFormat="false" ht="15.75" hidden="false" customHeight="false" outlineLevel="0" collapsed="false">
      <c r="A431" s="11"/>
      <c r="B431" s="11"/>
      <c r="C431" s="11"/>
      <c r="D431" s="11"/>
      <c r="E431" s="11"/>
    </row>
    <row r="432" customFormat="false" ht="15.75" hidden="false" customHeight="false" outlineLevel="0" collapsed="false">
      <c r="A432" s="11"/>
      <c r="B432" s="11"/>
      <c r="C432" s="11"/>
      <c r="D432" s="11"/>
      <c r="E432" s="11"/>
    </row>
    <row r="433" customFormat="false" ht="15.75" hidden="false" customHeight="false" outlineLevel="0" collapsed="false">
      <c r="A433" s="11"/>
      <c r="B433" s="11"/>
      <c r="C433" s="11"/>
      <c r="D433" s="11"/>
      <c r="E433" s="11"/>
    </row>
    <row r="434" customFormat="false" ht="15.75" hidden="false" customHeight="false" outlineLevel="0" collapsed="false">
      <c r="A434" s="11"/>
      <c r="B434" s="11"/>
      <c r="C434" s="11"/>
      <c r="D434" s="11"/>
      <c r="E434" s="11"/>
    </row>
    <row r="435" customFormat="false" ht="15.75" hidden="false" customHeight="false" outlineLevel="0" collapsed="false">
      <c r="A435" s="11"/>
      <c r="B435" s="11"/>
      <c r="C435" s="11"/>
      <c r="D435" s="11"/>
      <c r="E435" s="11"/>
    </row>
    <row r="436" customFormat="false" ht="15.75" hidden="false" customHeight="false" outlineLevel="0" collapsed="false">
      <c r="A436" s="11"/>
      <c r="B436" s="11"/>
      <c r="C436" s="11"/>
      <c r="D436" s="11"/>
      <c r="E436" s="11"/>
    </row>
    <row r="437" customFormat="false" ht="15.75" hidden="false" customHeight="false" outlineLevel="0" collapsed="false">
      <c r="A437" s="11"/>
      <c r="B437" s="11"/>
      <c r="C437" s="11"/>
      <c r="D437" s="11"/>
      <c r="E437" s="11"/>
    </row>
    <row r="438" customFormat="false" ht="15.75" hidden="false" customHeight="false" outlineLevel="0" collapsed="false">
      <c r="A438" s="11"/>
      <c r="B438" s="11"/>
      <c r="C438" s="11"/>
      <c r="D438" s="11"/>
      <c r="E438" s="11"/>
    </row>
    <row r="439" customFormat="false" ht="15.75" hidden="false" customHeight="false" outlineLevel="0" collapsed="false">
      <c r="A439" s="11"/>
      <c r="B439" s="11"/>
      <c r="C439" s="11"/>
      <c r="D439" s="11"/>
      <c r="E439" s="11"/>
    </row>
    <row r="440" customFormat="false" ht="15.75" hidden="false" customHeight="false" outlineLevel="0" collapsed="false">
      <c r="A440" s="11"/>
      <c r="B440" s="11"/>
      <c r="C440" s="11"/>
      <c r="D440" s="11"/>
      <c r="E440" s="11"/>
    </row>
    <row r="441" customFormat="false" ht="15.75" hidden="false" customHeight="false" outlineLevel="0" collapsed="false">
      <c r="A441" s="11"/>
      <c r="B441" s="11"/>
      <c r="C441" s="11"/>
      <c r="D441" s="11"/>
      <c r="E441" s="11"/>
    </row>
    <row r="442" customFormat="false" ht="15.75" hidden="false" customHeight="false" outlineLevel="0" collapsed="false">
      <c r="A442" s="11"/>
      <c r="B442" s="11"/>
      <c r="C442" s="11"/>
      <c r="D442" s="11"/>
      <c r="E442" s="11"/>
    </row>
    <row r="443" customFormat="false" ht="15.75" hidden="false" customHeight="false" outlineLevel="0" collapsed="false">
      <c r="A443" s="11"/>
      <c r="B443" s="11"/>
      <c r="C443" s="11"/>
      <c r="D443" s="11"/>
      <c r="E443" s="11"/>
    </row>
    <row r="444" customFormat="false" ht="15.75" hidden="false" customHeight="false" outlineLevel="0" collapsed="false">
      <c r="A444" s="11"/>
      <c r="B444" s="11"/>
      <c r="C444" s="11"/>
      <c r="D444" s="11"/>
      <c r="E444" s="11"/>
    </row>
    <row r="445" customFormat="false" ht="15.75" hidden="false" customHeight="false" outlineLevel="0" collapsed="false">
      <c r="A445" s="11"/>
      <c r="B445" s="11"/>
      <c r="C445" s="11"/>
      <c r="D445" s="11"/>
      <c r="E445" s="11"/>
    </row>
    <row r="446" customFormat="false" ht="15.75" hidden="false" customHeight="false" outlineLevel="0" collapsed="false">
      <c r="A446" s="11"/>
      <c r="B446" s="11"/>
      <c r="C446" s="11"/>
      <c r="D446" s="11"/>
      <c r="E446" s="11"/>
    </row>
    <row r="447" customFormat="false" ht="15.75" hidden="false" customHeight="false" outlineLevel="0" collapsed="false">
      <c r="A447" s="11"/>
      <c r="B447" s="11"/>
      <c r="C447" s="11"/>
      <c r="D447" s="11"/>
      <c r="E447" s="11"/>
    </row>
    <row r="448" customFormat="false" ht="15.75" hidden="false" customHeight="false" outlineLevel="0" collapsed="false">
      <c r="A448" s="11"/>
      <c r="B448" s="11"/>
      <c r="C448" s="11"/>
      <c r="D448" s="11"/>
      <c r="E448" s="11"/>
    </row>
    <row r="449" customFormat="false" ht="15.75" hidden="false" customHeight="false" outlineLevel="0" collapsed="false">
      <c r="A449" s="11"/>
      <c r="B449" s="11"/>
      <c r="C449" s="11"/>
      <c r="D449" s="11"/>
      <c r="E449" s="11"/>
    </row>
    <row r="450" customFormat="false" ht="15.75" hidden="false" customHeight="false" outlineLevel="0" collapsed="false">
      <c r="A450" s="11"/>
      <c r="B450" s="11"/>
      <c r="C450" s="11"/>
      <c r="D450" s="11"/>
      <c r="E450" s="11"/>
    </row>
    <row r="451" customFormat="false" ht="15.75" hidden="false" customHeight="false" outlineLevel="0" collapsed="false">
      <c r="A451" s="11"/>
      <c r="B451" s="11"/>
      <c r="C451" s="11"/>
      <c r="D451" s="11"/>
      <c r="E451" s="11"/>
    </row>
    <row r="452" customFormat="false" ht="15.75" hidden="false" customHeight="false" outlineLevel="0" collapsed="false">
      <c r="A452" s="11"/>
      <c r="B452" s="11"/>
      <c r="C452" s="11"/>
      <c r="D452" s="11"/>
      <c r="E452" s="11"/>
    </row>
    <row r="453" customFormat="false" ht="15.75" hidden="false" customHeight="false" outlineLevel="0" collapsed="false">
      <c r="A453" s="11"/>
      <c r="B453" s="11"/>
      <c r="C453" s="11"/>
      <c r="D453" s="11"/>
      <c r="E453" s="11"/>
    </row>
    <row r="454" customFormat="false" ht="15.75" hidden="false" customHeight="false" outlineLevel="0" collapsed="false">
      <c r="A454" s="11"/>
      <c r="B454" s="11"/>
      <c r="C454" s="11"/>
      <c r="D454" s="11"/>
      <c r="E454" s="11"/>
    </row>
    <row r="455" customFormat="false" ht="15.75" hidden="false" customHeight="false" outlineLevel="0" collapsed="false">
      <c r="A455" s="11"/>
      <c r="B455" s="11"/>
      <c r="C455" s="11"/>
      <c r="D455" s="11"/>
      <c r="E455" s="11"/>
    </row>
    <row r="456" customFormat="false" ht="15.75" hidden="false" customHeight="false" outlineLevel="0" collapsed="false">
      <c r="A456" s="11"/>
      <c r="B456" s="11"/>
      <c r="C456" s="11"/>
      <c r="D456" s="11"/>
      <c r="E456" s="11"/>
    </row>
    <row r="457" customFormat="false" ht="15.75" hidden="false" customHeight="false" outlineLevel="0" collapsed="false">
      <c r="A457" s="11"/>
      <c r="B457" s="11"/>
      <c r="C457" s="11"/>
      <c r="D457" s="11"/>
      <c r="E457" s="11"/>
    </row>
    <row r="458" customFormat="false" ht="15.75" hidden="false" customHeight="false" outlineLevel="0" collapsed="false">
      <c r="A458" s="11"/>
      <c r="B458" s="11"/>
      <c r="C458" s="11"/>
      <c r="D458" s="11"/>
      <c r="E458" s="11"/>
    </row>
    <row r="459" customFormat="false" ht="15.75" hidden="false" customHeight="false" outlineLevel="0" collapsed="false">
      <c r="A459" s="11"/>
      <c r="B459" s="11"/>
      <c r="C459" s="11"/>
      <c r="D459" s="11"/>
      <c r="E459" s="11"/>
    </row>
    <row r="460" customFormat="false" ht="15.75" hidden="false" customHeight="false" outlineLevel="0" collapsed="false">
      <c r="A460" s="11"/>
      <c r="B460" s="11"/>
      <c r="C460" s="11"/>
      <c r="D460" s="11"/>
      <c r="E460" s="11"/>
    </row>
    <row r="461" customFormat="false" ht="15.75" hidden="false" customHeight="false" outlineLevel="0" collapsed="false">
      <c r="A461" s="11"/>
      <c r="B461" s="11"/>
      <c r="C461" s="11"/>
      <c r="D461" s="11"/>
      <c r="E461" s="11"/>
    </row>
    <row r="462" customFormat="false" ht="15.75" hidden="false" customHeight="false" outlineLevel="0" collapsed="false">
      <c r="A462" s="11"/>
      <c r="B462" s="11"/>
      <c r="C462" s="11"/>
      <c r="D462" s="11"/>
      <c r="E462" s="11"/>
    </row>
    <row r="463" customFormat="false" ht="15.75" hidden="false" customHeight="false" outlineLevel="0" collapsed="false">
      <c r="A463" s="11"/>
      <c r="B463" s="11"/>
      <c r="C463" s="11"/>
      <c r="D463" s="11"/>
      <c r="E463" s="11"/>
    </row>
    <row r="464" customFormat="false" ht="15.75" hidden="false" customHeight="false" outlineLevel="0" collapsed="false">
      <c r="A464" s="11"/>
      <c r="B464" s="11"/>
      <c r="C464" s="11"/>
      <c r="D464" s="11"/>
      <c r="E464" s="11"/>
    </row>
    <row r="465" customFormat="false" ht="15.75" hidden="false" customHeight="false" outlineLevel="0" collapsed="false">
      <c r="A465" s="11"/>
      <c r="B465" s="11"/>
      <c r="C465" s="11"/>
      <c r="D465" s="11"/>
      <c r="E465" s="11"/>
    </row>
    <row r="466" customFormat="false" ht="15.75" hidden="false" customHeight="false" outlineLevel="0" collapsed="false">
      <c r="A466" s="11"/>
      <c r="B466" s="11"/>
      <c r="C466" s="11"/>
      <c r="D466" s="11"/>
      <c r="E466" s="11"/>
    </row>
    <row r="467" customFormat="false" ht="15.75" hidden="false" customHeight="false" outlineLevel="0" collapsed="false">
      <c r="A467" s="11"/>
      <c r="B467" s="11"/>
      <c r="C467" s="11"/>
      <c r="D467" s="11"/>
      <c r="E467" s="11"/>
    </row>
    <row r="468" customFormat="false" ht="15.75" hidden="false" customHeight="false" outlineLevel="0" collapsed="false">
      <c r="A468" s="11"/>
      <c r="B468" s="11"/>
      <c r="C468" s="11"/>
      <c r="D468" s="11"/>
      <c r="E468" s="11"/>
    </row>
    <row r="469" customFormat="false" ht="15.75" hidden="false" customHeight="false" outlineLevel="0" collapsed="false">
      <c r="A469" s="11"/>
      <c r="B469" s="11"/>
      <c r="C469" s="11"/>
      <c r="D469" s="11"/>
      <c r="E469" s="11"/>
    </row>
    <row r="470" customFormat="false" ht="15.75" hidden="false" customHeight="false" outlineLevel="0" collapsed="false">
      <c r="A470" s="11"/>
      <c r="B470" s="11"/>
      <c r="C470" s="11"/>
      <c r="D470" s="11"/>
      <c r="E470" s="11"/>
    </row>
    <row r="471" customFormat="false" ht="15.75" hidden="false" customHeight="false" outlineLevel="0" collapsed="false">
      <c r="A471" s="11"/>
      <c r="B471" s="11"/>
      <c r="C471" s="11"/>
      <c r="D471" s="11"/>
      <c r="E471" s="11"/>
    </row>
    <row r="472" customFormat="false" ht="15.75" hidden="false" customHeight="false" outlineLevel="0" collapsed="false">
      <c r="A472" s="11"/>
      <c r="B472" s="11"/>
      <c r="C472" s="11"/>
      <c r="D472" s="11"/>
      <c r="E472" s="11"/>
    </row>
    <row r="473" customFormat="false" ht="15.75" hidden="false" customHeight="false" outlineLevel="0" collapsed="false">
      <c r="A473" s="11"/>
      <c r="B473" s="11"/>
      <c r="C473" s="11"/>
      <c r="D473" s="11"/>
      <c r="E473" s="11"/>
    </row>
    <row r="474" customFormat="false" ht="15.75" hidden="false" customHeight="false" outlineLevel="0" collapsed="false">
      <c r="A474" s="11"/>
      <c r="B474" s="11"/>
      <c r="C474" s="11"/>
      <c r="D474" s="11"/>
      <c r="E474" s="11"/>
    </row>
    <row r="475" customFormat="false" ht="15.75" hidden="false" customHeight="false" outlineLevel="0" collapsed="false">
      <c r="A475" s="11"/>
      <c r="B475" s="11"/>
      <c r="C475" s="11"/>
      <c r="D475" s="11"/>
      <c r="E475" s="11"/>
    </row>
    <row r="476" customFormat="false" ht="15.75" hidden="false" customHeight="false" outlineLevel="0" collapsed="false">
      <c r="A476" s="11"/>
      <c r="B476" s="11"/>
      <c r="C476" s="11"/>
      <c r="D476" s="11"/>
      <c r="E476" s="11"/>
    </row>
    <row r="477" customFormat="false" ht="15.75" hidden="false" customHeight="false" outlineLevel="0" collapsed="false">
      <c r="A477" s="11"/>
      <c r="B477" s="11"/>
      <c r="C477" s="11"/>
      <c r="D477" s="11"/>
      <c r="E477" s="11"/>
    </row>
    <row r="478" customFormat="false" ht="15.75" hidden="false" customHeight="false" outlineLevel="0" collapsed="false">
      <c r="A478" s="11"/>
      <c r="B478" s="11"/>
      <c r="C478" s="11"/>
      <c r="D478" s="11"/>
      <c r="E478" s="11"/>
    </row>
    <row r="479" customFormat="false" ht="15.75" hidden="false" customHeight="false" outlineLevel="0" collapsed="false">
      <c r="A479" s="11"/>
      <c r="B479" s="11"/>
      <c r="C479" s="11"/>
      <c r="D479" s="11"/>
      <c r="E479" s="11"/>
    </row>
    <row r="480" customFormat="false" ht="15.75" hidden="false" customHeight="false" outlineLevel="0" collapsed="false">
      <c r="A480" s="11"/>
      <c r="B480" s="11"/>
      <c r="C480" s="11"/>
      <c r="D480" s="11"/>
      <c r="E480" s="11"/>
    </row>
    <row r="481" customFormat="false" ht="15.75" hidden="false" customHeight="false" outlineLevel="0" collapsed="false">
      <c r="A481" s="11"/>
      <c r="B481" s="11"/>
      <c r="C481" s="11"/>
      <c r="D481" s="11"/>
      <c r="E481" s="11"/>
    </row>
    <row r="482" customFormat="false" ht="15.75" hidden="false" customHeight="false" outlineLevel="0" collapsed="false">
      <c r="A482" s="11"/>
      <c r="B482" s="11"/>
      <c r="C482" s="11"/>
      <c r="D482" s="11"/>
      <c r="E482" s="11"/>
    </row>
    <row r="483" customFormat="false" ht="15.75" hidden="false" customHeight="false" outlineLevel="0" collapsed="false">
      <c r="A483" s="11"/>
      <c r="B483" s="11"/>
      <c r="C483" s="11"/>
      <c r="D483" s="11"/>
      <c r="E483" s="11"/>
    </row>
    <row r="484" customFormat="false" ht="15.75" hidden="false" customHeight="false" outlineLevel="0" collapsed="false">
      <c r="A484" s="11"/>
      <c r="B484" s="11"/>
      <c r="C484" s="11"/>
      <c r="D484" s="11"/>
      <c r="E484" s="11"/>
    </row>
    <row r="485" customFormat="false" ht="15.75" hidden="false" customHeight="false" outlineLevel="0" collapsed="false">
      <c r="A485" s="11"/>
      <c r="B485" s="11"/>
      <c r="C485" s="11"/>
      <c r="D485" s="11"/>
      <c r="E485" s="11"/>
    </row>
    <row r="486" customFormat="false" ht="15.75" hidden="false" customHeight="false" outlineLevel="0" collapsed="false">
      <c r="A486" s="11"/>
      <c r="B486" s="11"/>
      <c r="C486" s="11"/>
      <c r="D486" s="11"/>
      <c r="E486" s="11"/>
    </row>
    <row r="487" customFormat="false" ht="15.75" hidden="false" customHeight="false" outlineLevel="0" collapsed="false">
      <c r="A487" s="11"/>
      <c r="B487" s="11"/>
      <c r="C487" s="11"/>
      <c r="D487" s="11"/>
      <c r="E487" s="11"/>
    </row>
    <row r="488" customFormat="false" ht="15.75" hidden="false" customHeight="false" outlineLevel="0" collapsed="false">
      <c r="A488" s="11"/>
      <c r="B488" s="11"/>
      <c r="C488" s="11"/>
      <c r="D488" s="11"/>
      <c r="E488" s="11"/>
    </row>
    <row r="489" customFormat="false" ht="15.75" hidden="false" customHeight="false" outlineLevel="0" collapsed="false">
      <c r="A489" s="11"/>
      <c r="B489" s="11"/>
      <c r="C489" s="11"/>
      <c r="D489" s="11"/>
      <c r="E489" s="11"/>
    </row>
    <row r="490" customFormat="false" ht="15.75" hidden="false" customHeight="false" outlineLevel="0" collapsed="false">
      <c r="A490" s="11"/>
      <c r="B490" s="11"/>
      <c r="C490" s="11"/>
      <c r="D490" s="11"/>
      <c r="E490" s="11"/>
    </row>
    <row r="491" customFormat="false" ht="15.75" hidden="false" customHeight="false" outlineLevel="0" collapsed="false">
      <c r="A491" s="11"/>
      <c r="B491" s="11"/>
      <c r="C491" s="11"/>
      <c r="D491" s="11"/>
      <c r="E491" s="11"/>
    </row>
    <row r="492" customFormat="false" ht="15.75" hidden="false" customHeight="false" outlineLevel="0" collapsed="false">
      <c r="A492" s="11"/>
      <c r="B492" s="11"/>
      <c r="C492" s="11"/>
      <c r="D492" s="11"/>
      <c r="E492" s="11"/>
    </row>
    <row r="493" customFormat="false" ht="15.75" hidden="false" customHeight="false" outlineLevel="0" collapsed="false">
      <c r="A493" s="11"/>
      <c r="B493" s="11"/>
      <c r="C493" s="11"/>
      <c r="D493" s="11"/>
      <c r="E493" s="11"/>
    </row>
    <row r="494" customFormat="false" ht="15.75" hidden="false" customHeight="false" outlineLevel="0" collapsed="false">
      <c r="A494" s="11"/>
      <c r="B494" s="11"/>
      <c r="C494" s="11"/>
      <c r="D494" s="11"/>
      <c r="E494" s="11"/>
    </row>
    <row r="495" customFormat="false" ht="15.75" hidden="false" customHeight="false" outlineLevel="0" collapsed="false">
      <c r="A495" s="11"/>
      <c r="B495" s="11"/>
      <c r="C495" s="11"/>
      <c r="D495" s="11"/>
      <c r="E495" s="11"/>
    </row>
    <row r="496" customFormat="false" ht="15.75" hidden="false" customHeight="false" outlineLevel="0" collapsed="false">
      <c r="A496" s="11"/>
      <c r="B496" s="11"/>
      <c r="C496" s="11"/>
      <c r="D496" s="11"/>
      <c r="E496" s="11"/>
    </row>
    <row r="497" customFormat="false" ht="15.75" hidden="false" customHeight="false" outlineLevel="0" collapsed="false">
      <c r="A497" s="11"/>
      <c r="B497" s="11"/>
      <c r="C497" s="11"/>
      <c r="D497" s="11"/>
      <c r="E497" s="11"/>
    </row>
    <row r="498" customFormat="false" ht="15.75" hidden="false" customHeight="false" outlineLevel="0" collapsed="false">
      <c r="A498" s="11"/>
      <c r="B498" s="11"/>
      <c r="C498" s="11"/>
      <c r="D498" s="11"/>
      <c r="E498" s="11"/>
    </row>
    <row r="499" customFormat="false" ht="15.75" hidden="false" customHeight="false" outlineLevel="0" collapsed="false">
      <c r="A499" s="11"/>
      <c r="B499" s="11"/>
      <c r="C499" s="11"/>
      <c r="D499" s="11"/>
      <c r="E499" s="11"/>
    </row>
    <row r="500" customFormat="false" ht="15.75" hidden="false" customHeight="false" outlineLevel="0" collapsed="false">
      <c r="A500" s="11"/>
      <c r="B500" s="11"/>
      <c r="C500" s="11"/>
      <c r="D500" s="11"/>
      <c r="E500" s="11"/>
    </row>
    <row r="501" customFormat="false" ht="15.75" hidden="false" customHeight="false" outlineLevel="0" collapsed="false">
      <c r="A501" s="11"/>
      <c r="B501" s="11"/>
      <c r="C501" s="11"/>
      <c r="D501" s="11"/>
      <c r="E501" s="11"/>
    </row>
    <row r="502" customFormat="false" ht="15.75" hidden="false" customHeight="false" outlineLevel="0" collapsed="false">
      <c r="A502" s="11"/>
      <c r="B502" s="11"/>
      <c r="C502" s="11"/>
      <c r="D502" s="11"/>
      <c r="E502" s="11"/>
    </row>
    <row r="503" customFormat="false" ht="15.75" hidden="false" customHeight="false" outlineLevel="0" collapsed="false">
      <c r="A503" s="11"/>
      <c r="B503" s="11"/>
      <c r="C503" s="11"/>
      <c r="D503" s="11"/>
      <c r="E503" s="11"/>
    </row>
    <row r="504" customFormat="false" ht="15.75" hidden="false" customHeight="false" outlineLevel="0" collapsed="false">
      <c r="A504" s="11"/>
      <c r="B504" s="11"/>
      <c r="C504" s="11"/>
      <c r="D504" s="11"/>
      <c r="E504" s="11"/>
    </row>
    <row r="505" customFormat="false" ht="15.75" hidden="false" customHeight="false" outlineLevel="0" collapsed="false">
      <c r="A505" s="11"/>
      <c r="B505" s="11"/>
      <c r="C505" s="11"/>
      <c r="D505" s="11"/>
      <c r="E505" s="11"/>
    </row>
    <row r="506" customFormat="false" ht="15.75" hidden="false" customHeight="false" outlineLevel="0" collapsed="false">
      <c r="A506" s="11"/>
      <c r="B506" s="11"/>
      <c r="C506" s="11"/>
      <c r="D506" s="11"/>
      <c r="E506" s="11"/>
    </row>
    <row r="507" customFormat="false" ht="15.75" hidden="false" customHeight="false" outlineLevel="0" collapsed="false">
      <c r="A507" s="11"/>
      <c r="B507" s="11"/>
      <c r="C507" s="11"/>
      <c r="D507" s="11"/>
      <c r="E507" s="11"/>
    </row>
    <row r="508" customFormat="false" ht="15.75" hidden="false" customHeight="false" outlineLevel="0" collapsed="false">
      <c r="A508" s="11"/>
      <c r="B508" s="11"/>
      <c r="C508" s="11"/>
      <c r="D508" s="11"/>
      <c r="E508" s="11"/>
    </row>
    <row r="509" customFormat="false" ht="15.75" hidden="false" customHeight="false" outlineLevel="0" collapsed="false">
      <c r="A509" s="11"/>
      <c r="B509" s="11"/>
      <c r="C509" s="11"/>
      <c r="D509" s="11"/>
      <c r="E509" s="11"/>
    </row>
    <row r="510" customFormat="false" ht="15.75" hidden="false" customHeight="false" outlineLevel="0" collapsed="false">
      <c r="A510" s="11"/>
      <c r="B510" s="11"/>
      <c r="C510" s="11"/>
      <c r="D510" s="11"/>
      <c r="E510" s="11"/>
    </row>
    <row r="511" customFormat="false" ht="15.75" hidden="false" customHeight="false" outlineLevel="0" collapsed="false">
      <c r="A511" s="11"/>
      <c r="B511" s="11"/>
      <c r="C511" s="11"/>
      <c r="D511" s="11"/>
      <c r="E511" s="11"/>
    </row>
    <row r="512" customFormat="false" ht="15.75" hidden="false" customHeight="false" outlineLevel="0" collapsed="false">
      <c r="A512" s="11"/>
      <c r="B512" s="11"/>
      <c r="C512" s="11"/>
      <c r="D512" s="11"/>
      <c r="E512" s="11"/>
    </row>
    <row r="513" customFormat="false" ht="15.75" hidden="false" customHeight="false" outlineLevel="0" collapsed="false">
      <c r="A513" s="11"/>
      <c r="B513" s="11"/>
      <c r="C513" s="11"/>
      <c r="D513" s="11"/>
      <c r="E513" s="11"/>
    </row>
    <row r="514" customFormat="false" ht="15.75" hidden="false" customHeight="false" outlineLevel="0" collapsed="false">
      <c r="A514" s="11"/>
      <c r="B514" s="11"/>
      <c r="C514" s="11"/>
      <c r="D514" s="11"/>
      <c r="E514" s="11"/>
    </row>
    <row r="515" customFormat="false" ht="15.75" hidden="false" customHeight="false" outlineLevel="0" collapsed="false">
      <c r="A515" s="11"/>
      <c r="B515" s="11"/>
      <c r="C515" s="11"/>
      <c r="D515" s="11"/>
      <c r="E515" s="11"/>
    </row>
    <row r="516" customFormat="false" ht="15.75" hidden="false" customHeight="false" outlineLevel="0" collapsed="false">
      <c r="A516" s="11"/>
      <c r="B516" s="11"/>
      <c r="C516" s="11"/>
      <c r="D516" s="11"/>
      <c r="E516" s="11"/>
    </row>
    <row r="517" customFormat="false" ht="15.75" hidden="false" customHeight="false" outlineLevel="0" collapsed="false">
      <c r="A517" s="11"/>
      <c r="B517" s="11"/>
      <c r="C517" s="11"/>
      <c r="D517" s="11"/>
      <c r="E517" s="11"/>
    </row>
    <row r="518" customFormat="false" ht="15.75" hidden="false" customHeight="false" outlineLevel="0" collapsed="false">
      <c r="A518" s="11"/>
      <c r="B518" s="11"/>
      <c r="C518" s="11"/>
      <c r="D518" s="11"/>
      <c r="E518" s="11"/>
    </row>
    <row r="519" customFormat="false" ht="15.75" hidden="false" customHeight="false" outlineLevel="0" collapsed="false">
      <c r="A519" s="11"/>
      <c r="B519" s="11"/>
      <c r="C519" s="11"/>
      <c r="D519" s="11"/>
      <c r="E519" s="11"/>
    </row>
    <row r="520" customFormat="false" ht="15.75" hidden="false" customHeight="false" outlineLevel="0" collapsed="false">
      <c r="A520" s="11"/>
      <c r="B520" s="11"/>
      <c r="C520" s="11"/>
      <c r="D520" s="11"/>
      <c r="E520" s="11"/>
    </row>
    <row r="521" customFormat="false" ht="15.75" hidden="false" customHeight="false" outlineLevel="0" collapsed="false">
      <c r="A521" s="11"/>
      <c r="B521" s="11"/>
      <c r="C521" s="11"/>
      <c r="D521" s="11"/>
      <c r="E521" s="11"/>
    </row>
    <row r="522" customFormat="false" ht="15.75" hidden="false" customHeight="false" outlineLevel="0" collapsed="false">
      <c r="A522" s="11"/>
      <c r="B522" s="11"/>
      <c r="C522" s="11"/>
      <c r="D522" s="11"/>
      <c r="E522" s="11"/>
    </row>
    <row r="523" customFormat="false" ht="15.75" hidden="false" customHeight="false" outlineLevel="0" collapsed="false">
      <c r="A523" s="11"/>
      <c r="B523" s="11"/>
      <c r="C523" s="11"/>
      <c r="D523" s="11"/>
      <c r="E523" s="11"/>
    </row>
    <row r="524" customFormat="false" ht="15.75" hidden="false" customHeight="false" outlineLevel="0" collapsed="false">
      <c r="A524" s="11"/>
      <c r="B524" s="11"/>
      <c r="C524" s="11"/>
      <c r="D524" s="11"/>
      <c r="E524" s="11"/>
    </row>
    <row r="525" customFormat="false" ht="15.75" hidden="false" customHeight="false" outlineLevel="0" collapsed="false">
      <c r="A525" s="11"/>
      <c r="B525" s="11"/>
      <c r="C525" s="11"/>
      <c r="D525" s="11"/>
      <c r="E525" s="11"/>
    </row>
    <row r="526" customFormat="false" ht="15.75" hidden="false" customHeight="false" outlineLevel="0" collapsed="false">
      <c r="A526" s="11"/>
      <c r="B526" s="11"/>
      <c r="C526" s="11"/>
      <c r="D526" s="11"/>
      <c r="E526" s="11"/>
    </row>
    <row r="527" customFormat="false" ht="15.75" hidden="false" customHeight="false" outlineLevel="0" collapsed="false">
      <c r="A527" s="11"/>
      <c r="B527" s="11"/>
      <c r="C527" s="11"/>
      <c r="D527" s="11"/>
      <c r="E527" s="11"/>
    </row>
    <row r="528" customFormat="false" ht="15.75" hidden="false" customHeight="false" outlineLevel="0" collapsed="false">
      <c r="A528" s="11"/>
      <c r="B528" s="11"/>
      <c r="C528" s="11"/>
      <c r="D528" s="11"/>
      <c r="E528" s="11"/>
    </row>
    <row r="529" customFormat="false" ht="15.75" hidden="false" customHeight="false" outlineLevel="0" collapsed="false">
      <c r="A529" s="11"/>
      <c r="B529" s="11"/>
      <c r="C529" s="11"/>
      <c r="D529" s="11"/>
      <c r="E529" s="11"/>
    </row>
    <row r="530" customFormat="false" ht="15.75" hidden="false" customHeight="false" outlineLevel="0" collapsed="false">
      <c r="A530" s="11"/>
      <c r="B530" s="11"/>
      <c r="C530" s="11"/>
      <c r="D530" s="11"/>
      <c r="E530" s="11"/>
    </row>
    <row r="531" customFormat="false" ht="15.75" hidden="false" customHeight="false" outlineLevel="0" collapsed="false">
      <c r="A531" s="11"/>
      <c r="B531" s="11"/>
      <c r="C531" s="11"/>
      <c r="D531" s="11"/>
      <c r="E531" s="11"/>
    </row>
    <row r="532" customFormat="false" ht="15.75" hidden="false" customHeight="false" outlineLevel="0" collapsed="false">
      <c r="A532" s="11"/>
      <c r="B532" s="11"/>
      <c r="C532" s="11"/>
      <c r="D532" s="11"/>
      <c r="E532" s="11"/>
    </row>
    <row r="533" customFormat="false" ht="15.75" hidden="false" customHeight="false" outlineLevel="0" collapsed="false">
      <c r="A533" s="11"/>
      <c r="B533" s="11"/>
      <c r="C533" s="11"/>
      <c r="D533" s="11"/>
      <c r="E533" s="11"/>
    </row>
    <row r="534" customFormat="false" ht="15.75" hidden="false" customHeight="false" outlineLevel="0" collapsed="false">
      <c r="A534" s="11"/>
      <c r="B534" s="11"/>
      <c r="C534" s="11"/>
      <c r="D534" s="11"/>
      <c r="E534" s="11"/>
    </row>
    <row r="535" customFormat="false" ht="15.75" hidden="false" customHeight="false" outlineLevel="0" collapsed="false">
      <c r="A535" s="11"/>
      <c r="B535" s="11"/>
      <c r="C535" s="11"/>
      <c r="D535" s="11"/>
      <c r="E535" s="11"/>
    </row>
    <row r="536" customFormat="false" ht="15.75" hidden="false" customHeight="false" outlineLevel="0" collapsed="false">
      <c r="A536" s="11"/>
      <c r="B536" s="11"/>
      <c r="C536" s="11"/>
      <c r="D536" s="11"/>
      <c r="E536" s="11"/>
    </row>
    <row r="537" customFormat="false" ht="15.75" hidden="false" customHeight="false" outlineLevel="0" collapsed="false">
      <c r="A537" s="11"/>
      <c r="B537" s="11"/>
      <c r="C537" s="11"/>
      <c r="D537" s="11"/>
      <c r="E537" s="11"/>
    </row>
    <row r="538" customFormat="false" ht="15.75" hidden="false" customHeight="false" outlineLevel="0" collapsed="false">
      <c r="A538" s="11"/>
      <c r="B538" s="11"/>
      <c r="C538" s="11"/>
      <c r="D538" s="11"/>
      <c r="E538" s="11"/>
    </row>
    <row r="539" customFormat="false" ht="15.75" hidden="false" customHeight="false" outlineLevel="0" collapsed="false">
      <c r="A539" s="11"/>
      <c r="B539" s="11"/>
      <c r="C539" s="11"/>
      <c r="D539" s="11"/>
      <c r="E539" s="11"/>
    </row>
    <row r="540" customFormat="false" ht="15.75" hidden="false" customHeight="false" outlineLevel="0" collapsed="false">
      <c r="A540" s="11"/>
      <c r="B540" s="11"/>
      <c r="C540" s="11"/>
      <c r="D540" s="11"/>
      <c r="E540" s="11"/>
    </row>
    <row r="541" customFormat="false" ht="15.75" hidden="false" customHeight="false" outlineLevel="0" collapsed="false">
      <c r="A541" s="11"/>
      <c r="B541" s="11"/>
      <c r="C541" s="11"/>
      <c r="D541" s="11"/>
      <c r="E541" s="11"/>
    </row>
    <row r="542" customFormat="false" ht="15.75" hidden="false" customHeight="false" outlineLevel="0" collapsed="false">
      <c r="A542" s="11"/>
      <c r="B542" s="11"/>
      <c r="C542" s="11"/>
      <c r="D542" s="11"/>
      <c r="E542" s="11"/>
    </row>
    <row r="543" customFormat="false" ht="15.75" hidden="false" customHeight="false" outlineLevel="0" collapsed="false">
      <c r="A543" s="11"/>
      <c r="B543" s="11"/>
      <c r="C543" s="11"/>
      <c r="D543" s="11"/>
      <c r="E543" s="11"/>
    </row>
    <row r="544" customFormat="false" ht="15.75" hidden="false" customHeight="false" outlineLevel="0" collapsed="false">
      <c r="A544" s="11"/>
      <c r="B544" s="11"/>
      <c r="C544" s="11"/>
      <c r="D544" s="11"/>
      <c r="E544" s="11"/>
    </row>
    <row r="545" customFormat="false" ht="15.75" hidden="false" customHeight="false" outlineLevel="0" collapsed="false">
      <c r="A545" s="11"/>
      <c r="B545" s="11"/>
      <c r="C545" s="11"/>
      <c r="D545" s="11"/>
      <c r="E545" s="11"/>
    </row>
    <row r="546" customFormat="false" ht="15.75" hidden="false" customHeight="false" outlineLevel="0" collapsed="false">
      <c r="A546" s="11"/>
      <c r="B546" s="11"/>
      <c r="C546" s="11"/>
      <c r="D546" s="11"/>
      <c r="E546" s="11"/>
    </row>
    <row r="547" customFormat="false" ht="15.75" hidden="false" customHeight="false" outlineLevel="0" collapsed="false">
      <c r="A547" s="11"/>
      <c r="B547" s="11"/>
      <c r="C547" s="11"/>
      <c r="D547" s="11"/>
      <c r="E547" s="11"/>
    </row>
    <row r="548" customFormat="false" ht="15.75" hidden="false" customHeight="false" outlineLevel="0" collapsed="false">
      <c r="A548" s="11"/>
      <c r="B548" s="11"/>
      <c r="C548" s="11"/>
      <c r="D548" s="11"/>
      <c r="E548" s="11"/>
    </row>
    <row r="549" customFormat="false" ht="15.75" hidden="false" customHeight="false" outlineLevel="0" collapsed="false">
      <c r="A549" s="11"/>
      <c r="B549" s="11"/>
      <c r="C549" s="11"/>
      <c r="D549" s="11"/>
      <c r="E549" s="11"/>
    </row>
    <row r="550" customFormat="false" ht="15.75" hidden="false" customHeight="false" outlineLevel="0" collapsed="false">
      <c r="A550" s="11"/>
      <c r="B550" s="11"/>
      <c r="C550" s="11"/>
      <c r="D550" s="11"/>
      <c r="E550" s="11"/>
    </row>
    <row r="551" customFormat="false" ht="15.75" hidden="false" customHeight="false" outlineLevel="0" collapsed="false">
      <c r="A551" s="11"/>
      <c r="B551" s="11"/>
      <c r="C551" s="11"/>
      <c r="D551" s="11"/>
      <c r="E551" s="11"/>
    </row>
    <row r="552" customFormat="false" ht="15.75" hidden="false" customHeight="false" outlineLevel="0" collapsed="false">
      <c r="A552" s="11"/>
      <c r="B552" s="11"/>
      <c r="C552" s="11"/>
      <c r="D552" s="11"/>
      <c r="E552" s="11"/>
    </row>
    <row r="553" customFormat="false" ht="15.75" hidden="false" customHeight="false" outlineLevel="0" collapsed="false">
      <c r="A553" s="11"/>
      <c r="B553" s="11"/>
      <c r="C553" s="11"/>
      <c r="D553" s="11"/>
      <c r="E553" s="11"/>
    </row>
    <row r="554" customFormat="false" ht="15.75" hidden="false" customHeight="false" outlineLevel="0" collapsed="false">
      <c r="A554" s="11"/>
      <c r="B554" s="11"/>
      <c r="C554" s="11"/>
      <c r="D554" s="11"/>
      <c r="E554" s="11"/>
    </row>
    <row r="555" customFormat="false" ht="15.75" hidden="false" customHeight="false" outlineLevel="0" collapsed="false">
      <c r="A555" s="11"/>
      <c r="B555" s="11"/>
      <c r="C555" s="11"/>
      <c r="D555" s="11"/>
      <c r="E555" s="11"/>
    </row>
    <row r="556" customFormat="false" ht="15.75" hidden="false" customHeight="false" outlineLevel="0" collapsed="false">
      <c r="A556" s="11"/>
      <c r="B556" s="11"/>
      <c r="C556" s="11"/>
      <c r="D556" s="11"/>
      <c r="E556" s="11"/>
    </row>
    <row r="557" customFormat="false" ht="15.75" hidden="false" customHeight="false" outlineLevel="0" collapsed="false">
      <c r="A557" s="11"/>
      <c r="B557" s="11"/>
      <c r="C557" s="11"/>
      <c r="D557" s="11"/>
      <c r="E557" s="11"/>
    </row>
    <row r="558" customFormat="false" ht="15.75" hidden="false" customHeight="false" outlineLevel="0" collapsed="false">
      <c r="A558" s="11"/>
      <c r="B558" s="11"/>
      <c r="C558" s="11"/>
      <c r="D558" s="11"/>
      <c r="E558" s="11"/>
    </row>
    <row r="559" customFormat="false" ht="15.75" hidden="false" customHeight="false" outlineLevel="0" collapsed="false">
      <c r="A559" s="11"/>
      <c r="B559" s="11"/>
      <c r="C559" s="11"/>
      <c r="D559" s="11"/>
      <c r="E559" s="11"/>
    </row>
    <row r="560" customFormat="false" ht="15.75" hidden="false" customHeight="false" outlineLevel="0" collapsed="false">
      <c r="A560" s="11"/>
      <c r="B560" s="11"/>
      <c r="C560" s="11"/>
      <c r="D560" s="11"/>
      <c r="E560" s="11"/>
    </row>
    <row r="561" customFormat="false" ht="15.75" hidden="false" customHeight="false" outlineLevel="0" collapsed="false">
      <c r="A561" s="11"/>
      <c r="B561" s="11"/>
      <c r="C561" s="11"/>
      <c r="D561" s="11"/>
      <c r="E561" s="11"/>
    </row>
    <row r="562" customFormat="false" ht="15.75" hidden="false" customHeight="false" outlineLevel="0" collapsed="false">
      <c r="A562" s="11"/>
      <c r="B562" s="11"/>
      <c r="C562" s="11"/>
      <c r="D562" s="11"/>
      <c r="E562" s="11"/>
    </row>
    <row r="563" customFormat="false" ht="15.75" hidden="false" customHeight="false" outlineLevel="0" collapsed="false">
      <c r="A563" s="11"/>
      <c r="B563" s="11"/>
      <c r="C563" s="11"/>
      <c r="D563" s="11"/>
      <c r="E563" s="11"/>
    </row>
    <row r="564" customFormat="false" ht="15.75" hidden="false" customHeight="false" outlineLevel="0" collapsed="false">
      <c r="A564" s="11"/>
      <c r="B564" s="11"/>
      <c r="C564" s="11"/>
      <c r="D564" s="11"/>
      <c r="E564" s="11"/>
    </row>
    <row r="565" customFormat="false" ht="15.75" hidden="false" customHeight="false" outlineLevel="0" collapsed="false">
      <c r="A565" s="11"/>
      <c r="B565" s="11"/>
      <c r="C565" s="11"/>
      <c r="D565" s="11"/>
      <c r="E565" s="11"/>
    </row>
    <row r="566" customFormat="false" ht="15.75" hidden="false" customHeight="false" outlineLevel="0" collapsed="false">
      <c r="A566" s="11"/>
      <c r="B566" s="11"/>
      <c r="C566" s="11"/>
      <c r="D566" s="11"/>
      <c r="E566" s="11"/>
    </row>
    <row r="567" customFormat="false" ht="15.75" hidden="false" customHeight="false" outlineLevel="0" collapsed="false">
      <c r="A567" s="11"/>
      <c r="B567" s="11"/>
      <c r="C567" s="11"/>
      <c r="D567" s="11"/>
      <c r="E567" s="11"/>
    </row>
    <row r="568" customFormat="false" ht="15.75" hidden="false" customHeight="false" outlineLevel="0" collapsed="false">
      <c r="A568" s="11"/>
      <c r="B568" s="11"/>
      <c r="C568" s="11"/>
      <c r="D568" s="11"/>
      <c r="E568" s="11"/>
    </row>
    <row r="569" customFormat="false" ht="15.75" hidden="false" customHeight="false" outlineLevel="0" collapsed="false">
      <c r="A569" s="11"/>
      <c r="B569" s="11"/>
      <c r="C569" s="11"/>
      <c r="D569" s="11"/>
      <c r="E569" s="11"/>
    </row>
    <row r="570" customFormat="false" ht="15.75" hidden="false" customHeight="false" outlineLevel="0" collapsed="false">
      <c r="A570" s="11"/>
      <c r="B570" s="11"/>
      <c r="C570" s="11"/>
      <c r="D570" s="11"/>
      <c r="E570" s="11"/>
    </row>
    <row r="571" customFormat="false" ht="15.75" hidden="false" customHeight="false" outlineLevel="0" collapsed="false">
      <c r="A571" s="11"/>
      <c r="B571" s="11"/>
      <c r="C571" s="11"/>
      <c r="D571" s="11"/>
      <c r="E571" s="11"/>
    </row>
    <row r="572" customFormat="false" ht="15.75" hidden="false" customHeight="false" outlineLevel="0" collapsed="false">
      <c r="A572" s="11"/>
      <c r="B572" s="11"/>
      <c r="C572" s="11"/>
      <c r="D572" s="11"/>
      <c r="E572" s="11"/>
    </row>
    <row r="573" customFormat="false" ht="15.75" hidden="false" customHeight="false" outlineLevel="0" collapsed="false">
      <c r="A573" s="11"/>
      <c r="B573" s="11"/>
      <c r="C573" s="11"/>
      <c r="D573" s="11"/>
      <c r="E573" s="11"/>
    </row>
    <row r="574" customFormat="false" ht="15.75" hidden="false" customHeight="false" outlineLevel="0" collapsed="false">
      <c r="A574" s="11"/>
      <c r="B574" s="11"/>
      <c r="C574" s="11"/>
      <c r="D574" s="11"/>
      <c r="E574" s="11"/>
    </row>
    <row r="575" customFormat="false" ht="15.75" hidden="false" customHeight="false" outlineLevel="0" collapsed="false">
      <c r="A575" s="11"/>
      <c r="B575" s="11"/>
      <c r="C575" s="11"/>
      <c r="D575" s="11"/>
      <c r="E575" s="11"/>
    </row>
    <row r="576" customFormat="false" ht="15.75" hidden="false" customHeight="false" outlineLevel="0" collapsed="false">
      <c r="A576" s="11"/>
      <c r="B576" s="11"/>
      <c r="C576" s="11"/>
      <c r="D576" s="11"/>
      <c r="E576" s="11"/>
    </row>
    <row r="577" customFormat="false" ht="15.75" hidden="false" customHeight="false" outlineLevel="0" collapsed="false">
      <c r="A577" s="11"/>
      <c r="B577" s="11"/>
      <c r="C577" s="11"/>
      <c r="D577" s="11"/>
      <c r="E577" s="11"/>
    </row>
    <row r="578" customFormat="false" ht="15.75" hidden="false" customHeight="false" outlineLevel="0" collapsed="false">
      <c r="A578" s="11"/>
      <c r="B578" s="11"/>
      <c r="C578" s="11"/>
      <c r="D578" s="11"/>
      <c r="E578" s="11"/>
    </row>
    <row r="579" customFormat="false" ht="15.75" hidden="false" customHeight="false" outlineLevel="0" collapsed="false">
      <c r="A579" s="11"/>
      <c r="B579" s="11"/>
      <c r="C579" s="11"/>
      <c r="D579" s="11"/>
      <c r="E579" s="11"/>
    </row>
    <row r="580" customFormat="false" ht="15.75" hidden="false" customHeight="false" outlineLevel="0" collapsed="false">
      <c r="A580" s="11"/>
      <c r="B580" s="11"/>
      <c r="C580" s="11"/>
      <c r="D580" s="11"/>
      <c r="E580" s="11"/>
    </row>
    <row r="581" customFormat="false" ht="15.75" hidden="false" customHeight="false" outlineLevel="0" collapsed="false">
      <c r="A581" s="11"/>
      <c r="B581" s="11"/>
      <c r="C581" s="11"/>
      <c r="D581" s="11"/>
      <c r="E581" s="11"/>
    </row>
    <row r="582" customFormat="false" ht="15.75" hidden="false" customHeight="false" outlineLevel="0" collapsed="false">
      <c r="A582" s="11"/>
      <c r="B582" s="11"/>
      <c r="C582" s="11"/>
      <c r="D582" s="11"/>
      <c r="E582" s="11"/>
    </row>
    <row r="583" customFormat="false" ht="15.75" hidden="false" customHeight="false" outlineLevel="0" collapsed="false">
      <c r="A583" s="11"/>
      <c r="B583" s="11"/>
      <c r="C583" s="11"/>
      <c r="D583" s="11"/>
      <c r="E583" s="11"/>
    </row>
    <row r="584" customFormat="false" ht="15.75" hidden="false" customHeight="false" outlineLevel="0" collapsed="false">
      <c r="A584" s="11"/>
      <c r="B584" s="11"/>
      <c r="C584" s="11"/>
      <c r="D584" s="11"/>
      <c r="E584" s="11"/>
    </row>
    <row r="585" customFormat="false" ht="15.75" hidden="false" customHeight="false" outlineLevel="0" collapsed="false">
      <c r="A585" s="11"/>
      <c r="B585" s="11"/>
      <c r="C585" s="11"/>
      <c r="D585" s="11"/>
      <c r="E585" s="11"/>
    </row>
    <row r="586" customFormat="false" ht="15.75" hidden="false" customHeight="false" outlineLevel="0" collapsed="false">
      <c r="A586" s="11"/>
      <c r="B586" s="11"/>
      <c r="C586" s="11"/>
      <c r="D586" s="11"/>
      <c r="E586" s="11"/>
    </row>
    <row r="587" customFormat="false" ht="15.75" hidden="false" customHeight="false" outlineLevel="0" collapsed="false">
      <c r="A587" s="11"/>
      <c r="B587" s="11"/>
      <c r="C587" s="11"/>
      <c r="D587" s="11"/>
      <c r="E587" s="11"/>
    </row>
    <row r="588" customFormat="false" ht="15.75" hidden="false" customHeight="false" outlineLevel="0" collapsed="false">
      <c r="A588" s="11"/>
      <c r="B588" s="11"/>
      <c r="C588" s="11"/>
      <c r="D588" s="11"/>
      <c r="E588" s="11"/>
    </row>
    <row r="589" customFormat="false" ht="15.75" hidden="false" customHeight="false" outlineLevel="0" collapsed="false">
      <c r="A589" s="11"/>
      <c r="B589" s="11"/>
      <c r="C589" s="11"/>
      <c r="D589" s="11"/>
      <c r="E589" s="11"/>
    </row>
    <row r="590" customFormat="false" ht="15.75" hidden="false" customHeight="false" outlineLevel="0" collapsed="false">
      <c r="A590" s="11"/>
      <c r="B590" s="11"/>
      <c r="C590" s="11"/>
      <c r="D590" s="11"/>
      <c r="E590" s="11"/>
    </row>
    <row r="591" customFormat="false" ht="15.75" hidden="false" customHeight="false" outlineLevel="0" collapsed="false">
      <c r="A591" s="11"/>
      <c r="B591" s="11"/>
      <c r="C591" s="11"/>
      <c r="D591" s="11"/>
      <c r="E591" s="11"/>
    </row>
    <row r="592" customFormat="false" ht="15.75" hidden="false" customHeight="false" outlineLevel="0" collapsed="false">
      <c r="A592" s="11"/>
      <c r="B592" s="11"/>
      <c r="C592" s="11"/>
      <c r="D592" s="11"/>
      <c r="E592" s="11"/>
    </row>
    <row r="593" customFormat="false" ht="15.75" hidden="false" customHeight="false" outlineLevel="0" collapsed="false">
      <c r="A593" s="11"/>
      <c r="B593" s="11"/>
      <c r="C593" s="11"/>
      <c r="D593" s="11"/>
      <c r="E593" s="11"/>
    </row>
    <row r="594" customFormat="false" ht="15.75" hidden="false" customHeight="false" outlineLevel="0" collapsed="false">
      <c r="A594" s="11"/>
      <c r="B594" s="11"/>
      <c r="C594" s="11"/>
      <c r="D594" s="11"/>
      <c r="E594" s="11"/>
    </row>
    <row r="595" customFormat="false" ht="15.75" hidden="false" customHeight="false" outlineLevel="0" collapsed="false">
      <c r="A595" s="11"/>
      <c r="B595" s="11"/>
      <c r="C595" s="11"/>
      <c r="D595" s="11"/>
      <c r="E595" s="11"/>
    </row>
    <row r="596" customFormat="false" ht="15.75" hidden="false" customHeight="false" outlineLevel="0" collapsed="false">
      <c r="A596" s="11"/>
      <c r="B596" s="11"/>
      <c r="C596" s="11"/>
      <c r="D596" s="11"/>
      <c r="E596" s="11"/>
    </row>
    <row r="597" customFormat="false" ht="15.75" hidden="false" customHeight="false" outlineLevel="0" collapsed="false">
      <c r="A597" s="11"/>
      <c r="B597" s="11"/>
      <c r="C597" s="11"/>
      <c r="D597" s="11"/>
      <c r="E597" s="11"/>
    </row>
    <row r="598" customFormat="false" ht="15.75" hidden="false" customHeight="false" outlineLevel="0" collapsed="false">
      <c r="A598" s="11"/>
      <c r="B598" s="11"/>
      <c r="C598" s="11"/>
      <c r="D598" s="11"/>
      <c r="E598" s="11"/>
    </row>
    <row r="599" customFormat="false" ht="15.75" hidden="false" customHeight="false" outlineLevel="0" collapsed="false">
      <c r="A599" s="11"/>
      <c r="B599" s="11"/>
      <c r="C599" s="11"/>
      <c r="D599" s="11"/>
      <c r="E599" s="11"/>
    </row>
    <row r="600" customFormat="false" ht="15.75" hidden="false" customHeight="false" outlineLevel="0" collapsed="false">
      <c r="A600" s="11"/>
      <c r="B600" s="11"/>
      <c r="C600" s="11"/>
      <c r="D600" s="11"/>
      <c r="E600" s="11"/>
    </row>
    <row r="601" customFormat="false" ht="15.75" hidden="false" customHeight="false" outlineLevel="0" collapsed="false">
      <c r="A601" s="11"/>
      <c r="B601" s="11"/>
      <c r="C601" s="11"/>
      <c r="D601" s="11"/>
      <c r="E601" s="11"/>
    </row>
    <row r="602" customFormat="false" ht="15.75" hidden="false" customHeight="false" outlineLevel="0" collapsed="false">
      <c r="A602" s="11"/>
      <c r="B602" s="11"/>
      <c r="C602" s="11"/>
      <c r="D602" s="11"/>
      <c r="E602" s="11"/>
    </row>
    <row r="603" customFormat="false" ht="15.75" hidden="false" customHeight="false" outlineLevel="0" collapsed="false">
      <c r="A603" s="11"/>
      <c r="B603" s="11"/>
      <c r="C603" s="11"/>
      <c r="D603" s="11"/>
      <c r="E603" s="11"/>
    </row>
    <row r="604" customFormat="false" ht="15.75" hidden="false" customHeight="false" outlineLevel="0" collapsed="false">
      <c r="A604" s="11"/>
      <c r="B604" s="11"/>
      <c r="C604" s="11"/>
      <c r="D604" s="11"/>
      <c r="E604" s="11"/>
    </row>
    <row r="605" customFormat="false" ht="15.75" hidden="false" customHeight="false" outlineLevel="0" collapsed="false">
      <c r="A605" s="11"/>
      <c r="B605" s="11"/>
      <c r="C605" s="11"/>
      <c r="D605" s="11"/>
      <c r="E605" s="11"/>
    </row>
    <row r="606" customFormat="false" ht="15.75" hidden="false" customHeight="false" outlineLevel="0" collapsed="false">
      <c r="A606" s="11"/>
      <c r="B606" s="11"/>
      <c r="C606" s="11"/>
      <c r="D606" s="11"/>
      <c r="E606" s="11"/>
    </row>
    <row r="607" customFormat="false" ht="15.75" hidden="false" customHeight="false" outlineLevel="0" collapsed="false">
      <c r="A607" s="11"/>
      <c r="B607" s="11"/>
      <c r="C607" s="11"/>
      <c r="D607" s="11"/>
      <c r="E607" s="11"/>
    </row>
    <row r="608" customFormat="false" ht="15.75" hidden="false" customHeight="false" outlineLevel="0" collapsed="false">
      <c r="A608" s="11"/>
      <c r="B608" s="11"/>
      <c r="C608" s="11"/>
      <c r="D608" s="11"/>
      <c r="E608" s="11"/>
    </row>
    <row r="609" customFormat="false" ht="15.75" hidden="false" customHeight="false" outlineLevel="0" collapsed="false">
      <c r="A609" s="11"/>
      <c r="B609" s="11"/>
      <c r="C609" s="11"/>
      <c r="D609" s="11"/>
      <c r="E609" s="11"/>
    </row>
    <row r="610" customFormat="false" ht="15.75" hidden="false" customHeight="false" outlineLevel="0" collapsed="false">
      <c r="A610" s="11"/>
      <c r="B610" s="11"/>
      <c r="C610" s="11"/>
      <c r="D610" s="11"/>
      <c r="E610" s="11"/>
    </row>
    <row r="611" customFormat="false" ht="15.75" hidden="false" customHeight="false" outlineLevel="0" collapsed="false">
      <c r="A611" s="11"/>
      <c r="B611" s="11"/>
      <c r="C611" s="11"/>
      <c r="D611" s="11"/>
      <c r="E611" s="11"/>
    </row>
    <row r="612" customFormat="false" ht="15.75" hidden="false" customHeight="false" outlineLevel="0" collapsed="false">
      <c r="A612" s="11"/>
      <c r="B612" s="11"/>
      <c r="C612" s="11"/>
      <c r="D612" s="11"/>
      <c r="E612" s="11"/>
    </row>
    <row r="613" customFormat="false" ht="15.75" hidden="false" customHeight="false" outlineLevel="0" collapsed="false">
      <c r="A613" s="11"/>
      <c r="B613" s="11"/>
      <c r="C613" s="11"/>
      <c r="D613" s="11"/>
      <c r="E613" s="11"/>
    </row>
    <row r="614" customFormat="false" ht="15.75" hidden="false" customHeight="false" outlineLevel="0" collapsed="false">
      <c r="A614" s="11"/>
      <c r="B614" s="11"/>
      <c r="C614" s="11"/>
      <c r="D614" s="11"/>
      <c r="E614" s="11"/>
    </row>
    <row r="615" customFormat="false" ht="15.75" hidden="false" customHeight="false" outlineLevel="0" collapsed="false">
      <c r="A615" s="11"/>
      <c r="B615" s="11"/>
      <c r="C615" s="11"/>
      <c r="D615" s="11"/>
      <c r="E615" s="11"/>
    </row>
    <row r="616" customFormat="false" ht="15.75" hidden="false" customHeight="false" outlineLevel="0" collapsed="false">
      <c r="A616" s="11"/>
      <c r="B616" s="11"/>
      <c r="C616" s="11"/>
      <c r="D616" s="11"/>
      <c r="E616" s="11"/>
    </row>
    <row r="617" customFormat="false" ht="15.75" hidden="false" customHeight="false" outlineLevel="0" collapsed="false">
      <c r="A617" s="11"/>
      <c r="B617" s="11"/>
      <c r="C617" s="11"/>
      <c r="D617" s="11"/>
      <c r="E617" s="11"/>
    </row>
    <row r="618" customFormat="false" ht="15.75" hidden="false" customHeight="false" outlineLevel="0" collapsed="false">
      <c r="A618" s="11"/>
      <c r="B618" s="11"/>
      <c r="C618" s="11"/>
      <c r="D618" s="11"/>
      <c r="E618" s="11"/>
    </row>
    <row r="619" customFormat="false" ht="15.75" hidden="false" customHeight="false" outlineLevel="0" collapsed="false">
      <c r="A619" s="11"/>
      <c r="B619" s="11"/>
      <c r="C619" s="11"/>
      <c r="D619" s="11"/>
      <c r="E619" s="11"/>
    </row>
    <row r="620" customFormat="false" ht="15.75" hidden="false" customHeight="false" outlineLevel="0" collapsed="false">
      <c r="A620" s="11"/>
      <c r="B620" s="11"/>
      <c r="C620" s="11"/>
      <c r="D620" s="11"/>
      <c r="E620" s="11"/>
    </row>
    <row r="621" customFormat="false" ht="15.75" hidden="false" customHeight="false" outlineLevel="0" collapsed="false">
      <c r="A621" s="11"/>
      <c r="B621" s="11"/>
      <c r="C621" s="11"/>
      <c r="D621" s="11"/>
      <c r="E621" s="11"/>
    </row>
    <row r="622" customFormat="false" ht="15.75" hidden="false" customHeight="false" outlineLevel="0" collapsed="false">
      <c r="A622" s="11"/>
      <c r="B622" s="11"/>
      <c r="C622" s="11"/>
      <c r="D622" s="11"/>
      <c r="E622" s="11"/>
    </row>
    <row r="623" customFormat="false" ht="15.75" hidden="false" customHeight="false" outlineLevel="0" collapsed="false">
      <c r="A623" s="11"/>
      <c r="B623" s="11"/>
      <c r="C623" s="11"/>
      <c r="D623" s="11"/>
      <c r="E623" s="11"/>
    </row>
    <row r="624" customFormat="false" ht="15.75" hidden="false" customHeight="false" outlineLevel="0" collapsed="false">
      <c r="A624" s="11"/>
      <c r="B624" s="11"/>
      <c r="C624" s="11"/>
      <c r="D624" s="11"/>
      <c r="E624" s="11"/>
    </row>
    <row r="625" customFormat="false" ht="15.75" hidden="false" customHeight="false" outlineLevel="0" collapsed="false">
      <c r="A625" s="11"/>
      <c r="B625" s="11"/>
      <c r="C625" s="11"/>
      <c r="D625" s="11"/>
      <c r="E625" s="11"/>
    </row>
    <row r="626" customFormat="false" ht="15.75" hidden="false" customHeight="false" outlineLevel="0" collapsed="false">
      <c r="A626" s="11"/>
      <c r="B626" s="11"/>
      <c r="C626" s="11"/>
      <c r="D626" s="11"/>
      <c r="E626" s="11"/>
    </row>
    <row r="627" customFormat="false" ht="15.75" hidden="false" customHeight="false" outlineLevel="0" collapsed="false">
      <c r="A627" s="11"/>
      <c r="B627" s="11"/>
      <c r="C627" s="11"/>
      <c r="D627" s="11"/>
      <c r="E627" s="11"/>
    </row>
    <row r="628" customFormat="false" ht="15.75" hidden="false" customHeight="false" outlineLevel="0" collapsed="false">
      <c r="A628" s="11"/>
      <c r="B628" s="11"/>
      <c r="C628" s="11"/>
      <c r="D628" s="11"/>
      <c r="E628" s="11"/>
    </row>
    <row r="629" customFormat="false" ht="15.75" hidden="false" customHeight="false" outlineLevel="0" collapsed="false">
      <c r="A629" s="11"/>
      <c r="B629" s="11"/>
      <c r="C629" s="11"/>
      <c r="D629" s="11"/>
      <c r="E629" s="11"/>
    </row>
    <row r="630" customFormat="false" ht="15.75" hidden="false" customHeight="false" outlineLevel="0" collapsed="false">
      <c r="A630" s="11"/>
      <c r="B630" s="11"/>
      <c r="C630" s="11"/>
      <c r="D630" s="11"/>
      <c r="E630" s="11"/>
    </row>
    <row r="631" customFormat="false" ht="15.75" hidden="false" customHeight="false" outlineLevel="0" collapsed="false">
      <c r="A631" s="11"/>
      <c r="B631" s="11"/>
      <c r="C631" s="11"/>
      <c r="D631" s="11"/>
      <c r="E631" s="11"/>
    </row>
    <row r="632" customFormat="false" ht="15.75" hidden="false" customHeight="false" outlineLevel="0" collapsed="false">
      <c r="A632" s="11"/>
      <c r="B632" s="11"/>
      <c r="C632" s="11"/>
      <c r="D632" s="11"/>
      <c r="E632" s="11"/>
    </row>
    <row r="633" customFormat="false" ht="15.75" hidden="false" customHeight="false" outlineLevel="0" collapsed="false">
      <c r="A633" s="11"/>
      <c r="B633" s="11"/>
      <c r="C633" s="11"/>
      <c r="D633" s="11"/>
      <c r="E633" s="11"/>
    </row>
    <row r="634" customFormat="false" ht="15.75" hidden="false" customHeight="false" outlineLevel="0" collapsed="false">
      <c r="A634" s="11"/>
      <c r="B634" s="11"/>
      <c r="C634" s="11"/>
      <c r="D634" s="11"/>
      <c r="E634" s="11"/>
    </row>
    <row r="635" customFormat="false" ht="15.75" hidden="false" customHeight="false" outlineLevel="0" collapsed="false">
      <c r="A635" s="11"/>
      <c r="B635" s="11"/>
      <c r="C635" s="11"/>
      <c r="D635" s="11"/>
      <c r="E635" s="11"/>
    </row>
    <row r="636" customFormat="false" ht="15.75" hidden="false" customHeight="false" outlineLevel="0" collapsed="false">
      <c r="A636" s="11"/>
      <c r="B636" s="11"/>
      <c r="C636" s="11"/>
      <c r="D636" s="11"/>
      <c r="E636" s="11"/>
    </row>
    <row r="637" customFormat="false" ht="15.75" hidden="false" customHeight="false" outlineLevel="0" collapsed="false">
      <c r="A637" s="11"/>
      <c r="B637" s="11"/>
      <c r="C637" s="11"/>
      <c r="D637" s="11"/>
      <c r="E637" s="11"/>
    </row>
    <row r="638" customFormat="false" ht="15.75" hidden="false" customHeight="false" outlineLevel="0" collapsed="false">
      <c r="A638" s="11"/>
      <c r="B638" s="11"/>
      <c r="C638" s="11"/>
      <c r="D638" s="11"/>
      <c r="E638" s="11"/>
    </row>
    <row r="639" customFormat="false" ht="15.75" hidden="false" customHeight="false" outlineLevel="0" collapsed="false">
      <c r="A639" s="11"/>
      <c r="B639" s="11"/>
      <c r="C639" s="11"/>
      <c r="D639" s="11"/>
      <c r="E639" s="11"/>
    </row>
    <row r="640" customFormat="false" ht="15.75" hidden="false" customHeight="false" outlineLevel="0" collapsed="false">
      <c r="A640" s="11"/>
      <c r="B640" s="11"/>
      <c r="C640" s="11"/>
      <c r="D640" s="11"/>
      <c r="E640" s="11"/>
    </row>
    <row r="641" customFormat="false" ht="15.75" hidden="false" customHeight="false" outlineLevel="0" collapsed="false">
      <c r="A641" s="11"/>
      <c r="B641" s="11"/>
      <c r="C641" s="11"/>
      <c r="D641" s="11"/>
      <c r="E641" s="11"/>
    </row>
    <row r="642" customFormat="false" ht="15.75" hidden="false" customHeight="false" outlineLevel="0" collapsed="false">
      <c r="A642" s="11"/>
      <c r="B642" s="11"/>
      <c r="C642" s="11"/>
      <c r="D642" s="11"/>
      <c r="E642" s="11"/>
    </row>
    <row r="643" customFormat="false" ht="15.75" hidden="false" customHeight="false" outlineLevel="0" collapsed="false">
      <c r="A643" s="11"/>
      <c r="B643" s="11"/>
      <c r="C643" s="11"/>
      <c r="D643" s="11"/>
      <c r="E643" s="11"/>
    </row>
    <row r="644" customFormat="false" ht="15.75" hidden="false" customHeight="false" outlineLevel="0" collapsed="false">
      <c r="A644" s="11"/>
      <c r="B644" s="11"/>
      <c r="C644" s="11"/>
      <c r="D644" s="11"/>
      <c r="E644" s="11"/>
    </row>
    <row r="645" customFormat="false" ht="15.75" hidden="false" customHeight="false" outlineLevel="0" collapsed="false">
      <c r="A645" s="11"/>
      <c r="B645" s="11"/>
      <c r="C645" s="11"/>
      <c r="D645" s="11"/>
      <c r="E645" s="11"/>
    </row>
    <row r="646" customFormat="false" ht="15.75" hidden="false" customHeight="false" outlineLevel="0" collapsed="false">
      <c r="A646" s="11"/>
      <c r="B646" s="11"/>
      <c r="C646" s="11"/>
      <c r="D646" s="11"/>
      <c r="E646" s="11"/>
    </row>
    <row r="647" customFormat="false" ht="15.75" hidden="false" customHeight="false" outlineLevel="0" collapsed="false">
      <c r="A647" s="11"/>
      <c r="B647" s="11"/>
      <c r="C647" s="11"/>
      <c r="D647" s="11"/>
      <c r="E647" s="11"/>
    </row>
    <row r="648" customFormat="false" ht="15.75" hidden="false" customHeight="false" outlineLevel="0" collapsed="false">
      <c r="A648" s="11"/>
      <c r="B648" s="11"/>
      <c r="C648" s="11"/>
      <c r="D648" s="11"/>
      <c r="E648" s="11"/>
    </row>
    <row r="649" customFormat="false" ht="15.75" hidden="false" customHeight="false" outlineLevel="0" collapsed="false">
      <c r="A649" s="11"/>
      <c r="B649" s="11"/>
      <c r="C649" s="11"/>
      <c r="D649" s="11"/>
      <c r="E649" s="11"/>
    </row>
    <row r="650" customFormat="false" ht="15.75" hidden="false" customHeight="false" outlineLevel="0" collapsed="false">
      <c r="A650" s="11"/>
      <c r="B650" s="11"/>
      <c r="C650" s="11"/>
      <c r="D650" s="11"/>
      <c r="E650" s="11"/>
    </row>
    <row r="651" customFormat="false" ht="15.75" hidden="false" customHeight="false" outlineLevel="0" collapsed="false">
      <c r="A651" s="11"/>
      <c r="B651" s="11"/>
      <c r="C651" s="11"/>
      <c r="D651" s="11"/>
      <c r="E651" s="11"/>
    </row>
    <row r="652" customFormat="false" ht="15.75" hidden="false" customHeight="false" outlineLevel="0" collapsed="false">
      <c r="A652" s="11"/>
      <c r="B652" s="11"/>
      <c r="C652" s="11"/>
      <c r="D652" s="11"/>
      <c r="E652" s="11"/>
    </row>
    <row r="653" customFormat="false" ht="15.75" hidden="false" customHeight="false" outlineLevel="0" collapsed="false">
      <c r="A653" s="11"/>
      <c r="B653" s="11"/>
      <c r="C653" s="11"/>
      <c r="D653" s="11"/>
      <c r="E653" s="11"/>
    </row>
    <row r="654" customFormat="false" ht="15.75" hidden="false" customHeight="false" outlineLevel="0" collapsed="false">
      <c r="A654" s="11"/>
      <c r="B654" s="11"/>
      <c r="C654" s="11"/>
      <c r="D654" s="11"/>
      <c r="E654" s="11"/>
    </row>
    <row r="655" customFormat="false" ht="15.75" hidden="false" customHeight="false" outlineLevel="0" collapsed="false">
      <c r="A655" s="11"/>
      <c r="B655" s="11"/>
      <c r="C655" s="11"/>
      <c r="D655" s="11"/>
      <c r="E655" s="11"/>
    </row>
    <row r="656" customFormat="false" ht="15.75" hidden="false" customHeight="false" outlineLevel="0" collapsed="false">
      <c r="A656" s="11"/>
      <c r="B656" s="11"/>
      <c r="C656" s="11"/>
      <c r="D656" s="11"/>
      <c r="E656" s="11"/>
    </row>
    <row r="657" customFormat="false" ht="15.75" hidden="false" customHeight="false" outlineLevel="0" collapsed="false">
      <c r="A657" s="11"/>
      <c r="B657" s="11"/>
      <c r="C657" s="11"/>
      <c r="D657" s="11"/>
      <c r="E657" s="11"/>
    </row>
    <row r="658" customFormat="false" ht="15.75" hidden="false" customHeight="false" outlineLevel="0" collapsed="false">
      <c r="A658" s="11"/>
      <c r="B658" s="11"/>
      <c r="C658" s="11"/>
      <c r="D658" s="11"/>
      <c r="E658" s="11"/>
    </row>
    <row r="659" customFormat="false" ht="15.75" hidden="false" customHeight="false" outlineLevel="0" collapsed="false">
      <c r="A659" s="11"/>
      <c r="B659" s="11"/>
      <c r="C659" s="11"/>
      <c r="D659" s="11"/>
      <c r="E659" s="11"/>
    </row>
    <row r="660" customFormat="false" ht="15.75" hidden="false" customHeight="false" outlineLevel="0" collapsed="false">
      <c r="A660" s="11"/>
      <c r="B660" s="11"/>
      <c r="C660" s="11"/>
      <c r="D660" s="11"/>
      <c r="E660" s="11"/>
    </row>
    <row r="661" customFormat="false" ht="15.75" hidden="false" customHeight="false" outlineLevel="0" collapsed="false">
      <c r="A661" s="11"/>
      <c r="B661" s="11"/>
      <c r="C661" s="11"/>
      <c r="D661" s="11"/>
      <c r="E661" s="11"/>
    </row>
    <row r="662" customFormat="false" ht="15.75" hidden="false" customHeight="false" outlineLevel="0" collapsed="false">
      <c r="A662" s="11"/>
      <c r="B662" s="11"/>
      <c r="C662" s="11"/>
      <c r="D662" s="11"/>
      <c r="E662" s="11"/>
    </row>
    <row r="663" customFormat="false" ht="15.75" hidden="false" customHeight="false" outlineLevel="0" collapsed="false">
      <c r="A663" s="11"/>
      <c r="B663" s="11"/>
      <c r="C663" s="11"/>
      <c r="D663" s="11"/>
      <c r="E663" s="11"/>
    </row>
    <row r="664" customFormat="false" ht="15.75" hidden="false" customHeight="false" outlineLevel="0" collapsed="false">
      <c r="A664" s="11"/>
      <c r="B664" s="11"/>
      <c r="C664" s="11"/>
      <c r="D664" s="11"/>
      <c r="E664" s="11"/>
    </row>
    <row r="665" customFormat="false" ht="15.75" hidden="false" customHeight="false" outlineLevel="0" collapsed="false">
      <c r="A665" s="11"/>
      <c r="B665" s="11"/>
      <c r="C665" s="11"/>
      <c r="D665" s="11"/>
      <c r="E665" s="11"/>
    </row>
    <row r="666" customFormat="false" ht="15.75" hidden="false" customHeight="false" outlineLevel="0" collapsed="false">
      <c r="A666" s="11"/>
      <c r="B666" s="11"/>
      <c r="C666" s="11"/>
      <c r="D666" s="11"/>
      <c r="E666" s="11"/>
    </row>
    <row r="667" customFormat="false" ht="15.75" hidden="false" customHeight="false" outlineLevel="0" collapsed="false">
      <c r="A667" s="11"/>
      <c r="B667" s="11"/>
      <c r="C667" s="11"/>
      <c r="D667" s="11"/>
      <c r="E667" s="11"/>
    </row>
    <row r="668" customFormat="false" ht="15.75" hidden="false" customHeight="false" outlineLevel="0" collapsed="false">
      <c r="A668" s="11"/>
      <c r="B668" s="11"/>
      <c r="C668" s="11"/>
      <c r="D668" s="11"/>
      <c r="E668" s="11"/>
    </row>
    <row r="669" customFormat="false" ht="15.75" hidden="false" customHeight="false" outlineLevel="0" collapsed="false">
      <c r="A669" s="11"/>
      <c r="B669" s="11"/>
      <c r="C669" s="11"/>
      <c r="D669" s="11"/>
      <c r="E669" s="11"/>
    </row>
    <row r="670" customFormat="false" ht="15.75" hidden="false" customHeight="false" outlineLevel="0" collapsed="false">
      <c r="A670" s="11"/>
      <c r="B670" s="11"/>
      <c r="C670" s="11"/>
      <c r="D670" s="11"/>
      <c r="E670" s="11"/>
    </row>
    <row r="671" customFormat="false" ht="15.75" hidden="false" customHeight="false" outlineLevel="0" collapsed="false">
      <c r="A671" s="11"/>
      <c r="B671" s="11"/>
      <c r="C671" s="11"/>
      <c r="D671" s="11"/>
      <c r="E671" s="11"/>
    </row>
    <row r="672" customFormat="false" ht="15.75" hidden="false" customHeight="false" outlineLevel="0" collapsed="false">
      <c r="A672" s="11"/>
      <c r="B672" s="11"/>
      <c r="C672" s="11"/>
      <c r="D672" s="11"/>
      <c r="E672" s="11"/>
    </row>
    <row r="673" customFormat="false" ht="15.75" hidden="false" customHeight="false" outlineLevel="0" collapsed="false">
      <c r="A673" s="11"/>
      <c r="B673" s="11"/>
      <c r="C673" s="11"/>
      <c r="D673" s="11"/>
      <c r="E673" s="11"/>
    </row>
    <row r="674" customFormat="false" ht="15.75" hidden="false" customHeight="false" outlineLevel="0" collapsed="false">
      <c r="A674" s="11"/>
      <c r="B674" s="11"/>
      <c r="C674" s="11"/>
      <c r="D674" s="11"/>
      <c r="E674" s="11"/>
    </row>
    <row r="675" customFormat="false" ht="15.75" hidden="false" customHeight="false" outlineLevel="0" collapsed="false">
      <c r="A675" s="11"/>
      <c r="B675" s="11"/>
      <c r="C675" s="11"/>
      <c r="D675" s="11"/>
      <c r="E675" s="11"/>
    </row>
    <row r="676" customFormat="false" ht="15.75" hidden="false" customHeight="false" outlineLevel="0" collapsed="false">
      <c r="A676" s="11"/>
      <c r="B676" s="11"/>
      <c r="C676" s="11"/>
      <c r="D676" s="11"/>
      <c r="E676" s="11"/>
    </row>
    <row r="677" customFormat="false" ht="15.75" hidden="false" customHeight="false" outlineLevel="0" collapsed="false">
      <c r="A677" s="11"/>
      <c r="B677" s="11"/>
      <c r="C677" s="11"/>
      <c r="D677" s="11"/>
      <c r="E677" s="11"/>
    </row>
    <row r="678" customFormat="false" ht="15.75" hidden="false" customHeight="false" outlineLevel="0" collapsed="false">
      <c r="A678" s="11"/>
      <c r="B678" s="11"/>
      <c r="C678" s="11"/>
      <c r="D678" s="11"/>
      <c r="E678" s="11"/>
    </row>
    <row r="679" customFormat="false" ht="15.75" hidden="false" customHeight="false" outlineLevel="0" collapsed="false">
      <c r="A679" s="11"/>
      <c r="B679" s="11"/>
      <c r="C679" s="11"/>
      <c r="D679" s="11"/>
      <c r="E679" s="11"/>
    </row>
    <row r="680" customFormat="false" ht="15.75" hidden="false" customHeight="false" outlineLevel="0" collapsed="false">
      <c r="A680" s="11"/>
      <c r="B680" s="11"/>
      <c r="C680" s="11"/>
      <c r="D680" s="11"/>
      <c r="E680" s="11"/>
    </row>
    <row r="681" customFormat="false" ht="15.75" hidden="false" customHeight="false" outlineLevel="0" collapsed="false">
      <c r="A681" s="11"/>
      <c r="B681" s="11"/>
      <c r="C681" s="11"/>
      <c r="D681" s="11"/>
      <c r="E681" s="11"/>
    </row>
    <row r="682" customFormat="false" ht="15.75" hidden="false" customHeight="false" outlineLevel="0" collapsed="false">
      <c r="A682" s="11"/>
      <c r="B682" s="11"/>
      <c r="C682" s="11"/>
      <c r="D682" s="11"/>
      <c r="E682" s="11"/>
    </row>
    <row r="683" customFormat="false" ht="15.75" hidden="false" customHeight="false" outlineLevel="0" collapsed="false">
      <c r="A683" s="11"/>
      <c r="B683" s="11"/>
      <c r="C683" s="11"/>
      <c r="D683" s="11"/>
      <c r="E683" s="11"/>
    </row>
    <row r="684" customFormat="false" ht="15.75" hidden="false" customHeight="false" outlineLevel="0" collapsed="false">
      <c r="A684" s="11"/>
      <c r="B684" s="11"/>
      <c r="C684" s="11"/>
      <c r="D684" s="11"/>
      <c r="E684" s="11"/>
    </row>
    <row r="685" customFormat="false" ht="15.75" hidden="false" customHeight="false" outlineLevel="0" collapsed="false">
      <c r="A685" s="11"/>
      <c r="B685" s="11"/>
      <c r="C685" s="11"/>
      <c r="D685" s="11"/>
      <c r="E685" s="11"/>
    </row>
    <row r="686" customFormat="false" ht="15.75" hidden="false" customHeight="false" outlineLevel="0" collapsed="false">
      <c r="A686" s="11"/>
      <c r="B686" s="11"/>
      <c r="C686" s="11"/>
      <c r="D686" s="11"/>
      <c r="E686" s="11"/>
    </row>
    <row r="687" customFormat="false" ht="15.75" hidden="false" customHeight="false" outlineLevel="0" collapsed="false">
      <c r="A687" s="11"/>
      <c r="B687" s="11"/>
      <c r="C687" s="11"/>
      <c r="D687" s="11"/>
      <c r="E687" s="11"/>
    </row>
    <row r="688" customFormat="false" ht="15.75" hidden="false" customHeight="false" outlineLevel="0" collapsed="false">
      <c r="A688" s="11"/>
      <c r="B688" s="11"/>
      <c r="C688" s="11"/>
      <c r="D688" s="11"/>
      <c r="E688" s="11"/>
    </row>
    <row r="689" customFormat="false" ht="15.75" hidden="false" customHeight="false" outlineLevel="0" collapsed="false">
      <c r="A689" s="11"/>
      <c r="B689" s="11"/>
      <c r="C689" s="11"/>
      <c r="D689" s="11"/>
      <c r="E689" s="11"/>
    </row>
    <row r="690" customFormat="false" ht="15.75" hidden="false" customHeight="false" outlineLevel="0" collapsed="false">
      <c r="A690" s="11"/>
      <c r="B690" s="11"/>
      <c r="C690" s="11"/>
      <c r="D690" s="11"/>
      <c r="E690" s="11"/>
    </row>
    <row r="691" customFormat="false" ht="15.75" hidden="false" customHeight="false" outlineLevel="0" collapsed="false">
      <c r="A691" s="11"/>
      <c r="B691" s="11"/>
      <c r="C691" s="11"/>
      <c r="D691" s="11"/>
      <c r="E691" s="11"/>
    </row>
    <row r="692" customFormat="false" ht="15.75" hidden="false" customHeight="false" outlineLevel="0" collapsed="false">
      <c r="A692" s="11"/>
      <c r="B692" s="11"/>
      <c r="C692" s="11"/>
      <c r="D692" s="11"/>
      <c r="E692" s="11"/>
    </row>
    <row r="693" customFormat="false" ht="15.75" hidden="false" customHeight="false" outlineLevel="0" collapsed="false">
      <c r="A693" s="11"/>
      <c r="B693" s="11"/>
      <c r="C693" s="11"/>
      <c r="D693" s="11"/>
      <c r="E693" s="11"/>
    </row>
    <row r="694" customFormat="false" ht="15.75" hidden="false" customHeight="false" outlineLevel="0" collapsed="false">
      <c r="A694" s="11"/>
      <c r="B694" s="11"/>
      <c r="C694" s="11"/>
      <c r="D694" s="11"/>
      <c r="E694" s="11"/>
    </row>
    <row r="695" customFormat="false" ht="15.75" hidden="false" customHeight="false" outlineLevel="0" collapsed="false">
      <c r="A695" s="11"/>
      <c r="B695" s="11"/>
      <c r="C695" s="11"/>
      <c r="D695" s="11"/>
      <c r="E695" s="11"/>
    </row>
    <row r="696" customFormat="false" ht="15.75" hidden="false" customHeight="false" outlineLevel="0" collapsed="false">
      <c r="A696" s="11"/>
      <c r="B696" s="11"/>
      <c r="C696" s="11"/>
      <c r="D696" s="11"/>
      <c r="E696" s="11"/>
    </row>
    <row r="697" customFormat="false" ht="15.75" hidden="false" customHeight="false" outlineLevel="0" collapsed="false">
      <c r="A697" s="11"/>
      <c r="B697" s="11"/>
      <c r="C697" s="11"/>
      <c r="D697" s="11"/>
      <c r="E697" s="11"/>
    </row>
    <row r="698" customFormat="false" ht="15.75" hidden="false" customHeight="false" outlineLevel="0" collapsed="false">
      <c r="A698" s="11"/>
      <c r="B698" s="11"/>
      <c r="C698" s="11"/>
      <c r="D698" s="11"/>
      <c r="E698" s="11"/>
    </row>
    <row r="699" customFormat="false" ht="15.75" hidden="false" customHeight="false" outlineLevel="0" collapsed="false">
      <c r="A699" s="11"/>
      <c r="B699" s="11"/>
      <c r="C699" s="11"/>
      <c r="D699" s="11"/>
      <c r="E699" s="11"/>
    </row>
    <row r="700" customFormat="false" ht="15.75" hidden="false" customHeight="false" outlineLevel="0" collapsed="false">
      <c r="A700" s="11"/>
      <c r="B700" s="11"/>
      <c r="C700" s="11"/>
      <c r="D700" s="11"/>
      <c r="E700" s="11"/>
    </row>
    <row r="701" customFormat="false" ht="15.75" hidden="false" customHeight="false" outlineLevel="0" collapsed="false">
      <c r="A701" s="11"/>
      <c r="B701" s="11"/>
      <c r="C701" s="11"/>
      <c r="D701" s="11"/>
      <c r="E701" s="11"/>
    </row>
    <row r="702" customFormat="false" ht="15.75" hidden="false" customHeight="false" outlineLevel="0" collapsed="false">
      <c r="A702" s="11"/>
      <c r="B702" s="11"/>
      <c r="C702" s="11"/>
      <c r="D702" s="11"/>
      <c r="E702" s="11"/>
    </row>
    <row r="703" customFormat="false" ht="15.75" hidden="false" customHeight="false" outlineLevel="0" collapsed="false">
      <c r="A703" s="11"/>
      <c r="B703" s="11"/>
      <c r="C703" s="11"/>
      <c r="D703" s="11"/>
      <c r="E703" s="11"/>
    </row>
    <row r="704" customFormat="false" ht="15.75" hidden="false" customHeight="false" outlineLevel="0" collapsed="false">
      <c r="A704" s="11"/>
      <c r="B704" s="11"/>
      <c r="C704" s="11"/>
      <c r="D704" s="11"/>
      <c r="E704" s="11"/>
    </row>
    <row r="705" customFormat="false" ht="15.75" hidden="false" customHeight="false" outlineLevel="0" collapsed="false">
      <c r="A705" s="11"/>
      <c r="B705" s="11"/>
      <c r="C705" s="11"/>
      <c r="D705" s="11"/>
      <c r="E705" s="11"/>
    </row>
    <row r="706" customFormat="false" ht="15.75" hidden="false" customHeight="false" outlineLevel="0" collapsed="false">
      <c r="A706" s="11"/>
      <c r="B706" s="11"/>
      <c r="C706" s="11"/>
      <c r="D706" s="11"/>
      <c r="E706" s="11"/>
    </row>
    <row r="707" customFormat="false" ht="15.75" hidden="false" customHeight="false" outlineLevel="0" collapsed="false">
      <c r="A707" s="11"/>
      <c r="B707" s="11"/>
      <c r="C707" s="11"/>
      <c r="D707" s="11"/>
      <c r="E707" s="11"/>
    </row>
    <row r="708" customFormat="false" ht="15.75" hidden="false" customHeight="false" outlineLevel="0" collapsed="false">
      <c r="A708" s="11"/>
      <c r="B708" s="11"/>
      <c r="C708" s="11"/>
      <c r="D708" s="11"/>
      <c r="E708" s="11"/>
    </row>
    <row r="709" customFormat="false" ht="15.75" hidden="false" customHeight="false" outlineLevel="0" collapsed="false">
      <c r="A709" s="11"/>
      <c r="B709" s="11"/>
      <c r="C709" s="11"/>
      <c r="D709" s="11"/>
      <c r="E709" s="11"/>
    </row>
    <row r="710" customFormat="false" ht="15.75" hidden="false" customHeight="false" outlineLevel="0" collapsed="false">
      <c r="A710" s="11"/>
      <c r="B710" s="11"/>
      <c r="C710" s="11"/>
      <c r="D710" s="11"/>
      <c r="E710" s="11"/>
    </row>
    <row r="711" customFormat="false" ht="15.75" hidden="false" customHeight="false" outlineLevel="0" collapsed="false">
      <c r="A711" s="11"/>
      <c r="B711" s="11"/>
      <c r="C711" s="11"/>
      <c r="D711" s="11"/>
      <c r="E711" s="11"/>
    </row>
    <row r="712" customFormat="false" ht="15.75" hidden="false" customHeight="false" outlineLevel="0" collapsed="false">
      <c r="A712" s="11"/>
      <c r="B712" s="11"/>
      <c r="C712" s="11"/>
      <c r="D712" s="11"/>
      <c r="E712" s="11"/>
    </row>
    <row r="713" customFormat="false" ht="15.75" hidden="false" customHeight="false" outlineLevel="0" collapsed="false">
      <c r="A713" s="11"/>
      <c r="B713" s="11"/>
      <c r="C713" s="11"/>
      <c r="D713" s="11"/>
      <c r="E713" s="11"/>
    </row>
    <row r="714" customFormat="false" ht="15.75" hidden="false" customHeight="false" outlineLevel="0" collapsed="false">
      <c r="A714" s="11"/>
      <c r="B714" s="11"/>
      <c r="C714" s="11"/>
      <c r="D714" s="11"/>
      <c r="E714" s="11"/>
    </row>
    <row r="715" customFormat="false" ht="15.75" hidden="false" customHeight="false" outlineLevel="0" collapsed="false">
      <c r="A715" s="11"/>
      <c r="B715" s="11"/>
      <c r="C715" s="11"/>
      <c r="D715" s="11"/>
      <c r="E715" s="11"/>
    </row>
    <row r="716" customFormat="false" ht="15.75" hidden="false" customHeight="false" outlineLevel="0" collapsed="false">
      <c r="A716" s="11"/>
      <c r="B716" s="11"/>
      <c r="C716" s="11"/>
      <c r="D716" s="11"/>
      <c r="E716" s="11"/>
    </row>
    <row r="717" customFormat="false" ht="15.75" hidden="false" customHeight="false" outlineLevel="0" collapsed="false">
      <c r="A717" s="11"/>
      <c r="B717" s="11"/>
      <c r="C717" s="11"/>
      <c r="D717" s="11"/>
      <c r="E717" s="11"/>
    </row>
    <row r="718" customFormat="false" ht="15.75" hidden="false" customHeight="false" outlineLevel="0" collapsed="false">
      <c r="A718" s="11"/>
      <c r="B718" s="11"/>
      <c r="C718" s="11"/>
      <c r="D718" s="11"/>
      <c r="E718" s="11"/>
    </row>
    <row r="719" customFormat="false" ht="15.75" hidden="false" customHeight="false" outlineLevel="0" collapsed="false">
      <c r="A719" s="11"/>
      <c r="B719" s="11"/>
      <c r="C719" s="11"/>
      <c r="D719" s="11"/>
      <c r="E719" s="11"/>
    </row>
    <row r="720" customFormat="false" ht="15.75" hidden="false" customHeight="false" outlineLevel="0" collapsed="false">
      <c r="A720" s="11"/>
      <c r="B720" s="11"/>
      <c r="C720" s="11"/>
      <c r="D720" s="11"/>
      <c r="E720" s="11"/>
    </row>
    <row r="721" customFormat="false" ht="15.75" hidden="false" customHeight="false" outlineLevel="0" collapsed="false">
      <c r="A721" s="11"/>
      <c r="B721" s="11"/>
      <c r="C721" s="11"/>
      <c r="D721" s="11"/>
      <c r="E721" s="11"/>
    </row>
    <row r="722" customFormat="false" ht="15.75" hidden="false" customHeight="false" outlineLevel="0" collapsed="false">
      <c r="A722" s="11"/>
      <c r="B722" s="11"/>
      <c r="C722" s="11"/>
      <c r="D722" s="11"/>
      <c r="E722" s="11"/>
    </row>
    <row r="723" customFormat="false" ht="15.75" hidden="false" customHeight="false" outlineLevel="0" collapsed="false">
      <c r="A723" s="11"/>
      <c r="B723" s="11"/>
      <c r="C723" s="11"/>
      <c r="D723" s="11"/>
      <c r="E723" s="11"/>
    </row>
    <row r="724" customFormat="false" ht="15.75" hidden="false" customHeight="false" outlineLevel="0" collapsed="false">
      <c r="A724" s="11"/>
      <c r="B724" s="11"/>
      <c r="C724" s="11"/>
      <c r="D724" s="11"/>
      <c r="E724" s="11"/>
    </row>
    <row r="725" customFormat="false" ht="15.75" hidden="false" customHeight="false" outlineLevel="0" collapsed="false">
      <c r="A725" s="11"/>
      <c r="B725" s="11"/>
      <c r="C725" s="11"/>
      <c r="D725" s="11"/>
      <c r="E725" s="11"/>
    </row>
    <row r="726" customFormat="false" ht="15.75" hidden="false" customHeight="false" outlineLevel="0" collapsed="false">
      <c r="A726" s="11"/>
      <c r="B726" s="11"/>
      <c r="C726" s="11"/>
      <c r="D726" s="11"/>
      <c r="E726" s="11"/>
    </row>
    <row r="727" customFormat="false" ht="15.75" hidden="false" customHeight="false" outlineLevel="0" collapsed="false">
      <c r="A727" s="11"/>
      <c r="B727" s="11"/>
      <c r="C727" s="11"/>
      <c r="D727" s="11"/>
      <c r="E727" s="11"/>
    </row>
    <row r="728" customFormat="false" ht="15.75" hidden="false" customHeight="false" outlineLevel="0" collapsed="false">
      <c r="A728" s="11"/>
      <c r="B728" s="11"/>
      <c r="C728" s="11"/>
      <c r="D728" s="11"/>
      <c r="E728" s="11"/>
    </row>
    <row r="729" customFormat="false" ht="15.75" hidden="false" customHeight="false" outlineLevel="0" collapsed="false">
      <c r="A729" s="11"/>
      <c r="B729" s="11"/>
      <c r="C729" s="11"/>
      <c r="D729" s="11"/>
      <c r="E729" s="11"/>
    </row>
    <row r="730" customFormat="false" ht="15.75" hidden="false" customHeight="false" outlineLevel="0" collapsed="false">
      <c r="A730" s="11"/>
      <c r="B730" s="11"/>
      <c r="C730" s="11"/>
      <c r="D730" s="11"/>
      <c r="E730" s="11"/>
    </row>
    <row r="731" customFormat="false" ht="15.75" hidden="false" customHeight="false" outlineLevel="0" collapsed="false">
      <c r="A731" s="11"/>
      <c r="B731" s="11"/>
      <c r="C731" s="11"/>
      <c r="D731" s="11"/>
      <c r="E731" s="11"/>
    </row>
    <row r="732" customFormat="false" ht="15.75" hidden="false" customHeight="false" outlineLevel="0" collapsed="false">
      <c r="A732" s="11"/>
      <c r="B732" s="11"/>
      <c r="C732" s="11"/>
      <c r="D732" s="11"/>
      <c r="E732" s="11"/>
    </row>
    <row r="733" customFormat="false" ht="15.75" hidden="false" customHeight="false" outlineLevel="0" collapsed="false">
      <c r="A733" s="11"/>
      <c r="B733" s="11"/>
      <c r="C733" s="11"/>
      <c r="D733" s="11"/>
      <c r="E733" s="11"/>
    </row>
    <row r="734" customFormat="false" ht="15.75" hidden="false" customHeight="false" outlineLevel="0" collapsed="false">
      <c r="A734" s="11"/>
      <c r="B734" s="11"/>
      <c r="C734" s="11"/>
      <c r="D734" s="11"/>
      <c r="E734" s="11"/>
    </row>
    <row r="735" customFormat="false" ht="15.75" hidden="false" customHeight="false" outlineLevel="0" collapsed="false">
      <c r="A735" s="11"/>
      <c r="B735" s="11"/>
      <c r="C735" s="11"/>
      <c r="D735" s="11"/>
      <c r="E735" s="11"/>
    </row>
    <row r="736" customFormat="false" ht="15.75" hidden="false" customHeight="false" outlineLevel="0" collapsed="false">
      <c r="A736" s="11"/>
      <c r="B736" s="11"/>
      <c r="C736" s="11"/>
      <c r="D736" s="11"/>
      <c r="E736" s="11"/>
    </row>
    <row r="737" customFormat="false" ht="15.75" hidden="false" customHeight="false" outlineLevel="0" collapsed="false">
      <c r="A737" s="11"/>
      <c r="B737" s="11"/>
      <c r="C737" s="11"/>
      <c r="D737" s="11"/>
      <c r="E737" s="11"/>
    </row>
    <row r="738" customFormat="false" ht="15.75" hidden="false" customHeight="false" outlineLevel="0" collapsed="false">
      <c r="A738" s="11"/>
      <c r="B738" s="11"/>
      <c r="C738" s="11"/>
      <c r="D738" s="11"/>
      <c r="E738" s="11"/>
    </row>
    <row r="739" customFormat="false" ht="15.75" hidden="false" customHeight="false" outlineLevel="0" collapsed="false">
      <c r="A739" s="11"/>
      <c r="B739" s="11"/>
      <c r="C739" s="11"/>
      <c r="D739" s="11"/>
      <c r="E739" s="11"/>
    </row>
    <row r="740" customFormat="false" ht="15.75" hidden="false" customHeight="false" outlineLevel="0" collapsed="false">
      <c r="A740" s="11"/>
      <c r="B740" s="11"/>
      <c r="C740" s="11"/>
      <c r="D740" s="11"/>
      <c r="E740" s="11"/>
    </row>
    <row r="741" customFormat="false" ht="15.75" hidden="false" customHeight="false" outlineLevel="0" collapsed="false">
      <c r="A741" s="11"/>
      <c r="B741" s="11"/>
      <c r="C741" s="11"/>
      <c r="D741" s="11"/>
      <c r="E741" s="11"/>
    </row>
    <row r="742" customFormat="false" ht="15.75" hidden="false" customHeight="false" outlineLevel="0" collapsed="false">
      <c r="A742" s="11"/>
      <c r="B742" s="11"/>
      <c r="C742" s="11"/>
      <c r="D742" s="11"/>
      <c r="E742" s="11"/>
    </row>
    <row r="743" customFormat="false" ht="15.75" hidden="false" customHeight="false" outlineLevel="0" collapsed="false">
      <c r="A743" s="11"/>
      <c r="B743" s="11"/>
      <c r="C743" s="11"/>
      <c r="D743" s="11"/>
      <c r="E743" s="11"/>
    </row>
    <row r="744" customFormat="false" ht="15.75" hidden="false" customHeight="false" outlineLevel="0" collapsed="false">
      <c r="A744" s="11"/>
      <c r="B744" s="11"/>
      <c r="C744" s="11"/>
      <c r="D744" s="11"/>
      <c r="E744" s="11"/>
    </row>
    <row r="745" customFormat="false" ht="15.75" hidden="false" customHeight="false" outlineLevel="0" collapsed="false">
      <c r="A745" s="11"/>
      <c r="B745" s="11"/>
      <c r="C745" s="11"/>
      <c r="D745" s="11"/>
      <c r="E745" s="11"/>
    </row>
    <row r="746" customFormat="false" ht="15.75" hidden="false" customHeight="false" outlineLevel="0" collapsed="false">
      <c r="A746" s="11"/>
      <c r="B746" s="11"/>
      <c r="C746" s="11"/>
      <c r="D746" s="11"/>
      <c r="E746" s="11"/>
    </row>
    <row r="747" customFormat="false" ht="15.75" hidden="false" customHeight="false" outlineLevel="0" collapsed="false">
      <c r="A747" s="11"/>
      <c r="B747" s="11"/>
      <c r="C747" s="11"/>
      <c r="D747" s="11"/>
      <c r="E747" s="11"/>
    </row>
    <row r="748" customFormat="false" ht="15.75" hidden="false" customHeight="false" outlineLevel="0" collapsed="false">
      <c r="A748" s="11"/>
      <c r="B748" s="11"/>
      <c r="C748" s="11"/>
      <c r="D748" s="11"/>
      <c r="E748" s="11"/>
    </row>
    <row r="749" customFormat="false" ht="15.75" hidden="false" customHeight="false" outlineLevel="0" collapsed="false">
      <c r="A749" s="11"/>
      <c r="B749" s="11"/>
      <c r="C749" s="11"/>
      <c r="D749" s="11"/>
      <c r="E749" s="11"/>
    </row>
    <row r="750" customFormat="false" ht="15.75" hidden="false" customHeight="false" outlineLevel="0" collapsed="false">
      <c r="A750" s="11"/>
      <c r="B750" s="11"/>
      <c r="C750" s="11"/>
      <c r="D750" s="11"/>
      <c r="E750" s="11"/>
    </row>
    <row r="751" customFormat="false" ht="15.75" hidden="false" customHeight="false" outlineLevel="0" collapsed="false">
      <c r="A751" s="11"/>
      <c r="B751" s="11"/>
      <c r="C751" s="11"/>
      <c r="D751" s="11"/>
      <c r="E751" s="11"/>
    </row>
    <row r="752" customFormat="false" ht="15.75" hidden="false" customHeight="false" outlineLevel="0" collapsed="false">
      <c r="A752" s="11"/>
      <c r="B752" s="11"/>
      <c r="C752" s="11"/>
      <c r="D752" s="11"/>
      <c r="E752" s="11"/>
    </row>
    <row r="753" customFormat="false" ht="15.75" hidden="false" customHeight="false" outlineLevel="0" collapsed="false">
      <c r="A753" s="11"/>
      <c r="B753" s="11"/>
      <c r="C753" s="11"/>
      <c r="D753" s="11"/>
      <c r="E753" s="11"/>
    </row>
    <row r="754" customFormat="false" ht="15.75" hidden="false" customHeight="false" outlineLevel="0" collapsed="false">
      <c r="A754" s="11"/>
      <c r="B754" s="11"/>
      <c r="C754" s="11"/>
      <c r="D754" s="11"/>
      <c r="E754" s="11"/>
    </row>
    <row r="755" customFormat="false" ht="15.75" hidden="false" customHeight="false" outlineLevel="0" collapsed="false">
      <c r="A755" s="11"/>
      <c r="B755" s="11"/>
      <c r="C755" s="11"/>
      <c r="D755" s="11"/>
      <c r="E755" s="11"/>
    </row>
    <row r="756" customFormat="false" ht="15.75" hidden="false" customHeight="false" outlineLevel="0" collapsed="false">
      <c r="A756" s="11"/>
      <c r="B756" s="11"/>
      <c r="C756" s="11"/>
      <c r="D756" s="11"/>
      <c r="E756" s="11"/>
    </row>
    <row r="757" customFormat="false" ht="15.75" hidden="false" customHeight="false" outlineLevel="0" collapsed="false">
      <c r="A757" s="11"/>
      <c r="B757" s="11"/>
      <c r="C757" s="11"/>
      <c r="D757" s="11"/>
      <c r="E757" s="11"/>
    </row>
    <row r="758" customFormat="false" ht="15.75" hidden="false" customHeight="false" outlineLevel="0" collapsed="false">
      <c r="A758" s="11"/>
      <c r="B758" s="11"/>
      <c r="C758" s="11"/>
      <c r="D758" s="11"/>
      <c r="E758" s="11"/>
    </row>
    <row r="759" customFormat="false" ht="15.75" hidden="false" customHeight="false" outlineLevel="0" collapsed="false">
      <c r="A759" s="11"/>
      <c r="B759" s="11"/>
      <c r="C759" s="11"/>
      <c r="D759" s="11"/>
      <c r="E759" s="11"/>
    </row>
    <row r="760" customFormat="false" ht="15.75" hidden="false" customHeight="false" outlineLevel="0" collapsed="false">
      <c r="A760" s="11"/>
      <c r="B760" s="11"/>
      <c r="C760" s="11"/>
      <c r="D760" s="11"/>
      <c r="E760" s="11"/>
    </row>
    <row r="761" customFormat="false" ht="15.75" hidden="false" customHeight="false" outlineLevel="0" collapsed="false">
      <c r="A761" s="11"/>
      <c r="B761" s="11"/>
      <c r="C761" s="11"/>
      <c r="D761" s="11"/>
      <c r="E761" s="11"/>
    </row>
    <row r="762" customFormat="false" ht="15.75" hidden="false" customHeight="false" outlineLevel="0" collapsed="false">
      <c r="A762" s="11"/>
      <c r="B762" s="11"/>
      <c r="C762" s="11"/>
      <c r="D762" s="11"/>
      <c r="E762" s="11"/>
    </row>
    <row r="763" customFormat="false" ht="15.75" hidden="false" customHeight="false" outlineLevel="0" collapsed="false">
      <c r="A763" s="11"/>
      <c r="B763" s="11"/>
      <c r="C763" s="11"/>
      <c r="D763" s="11"/>
      <c r="E763" s="11"/>
    </row>
    <row r="764" customFormat="false" ht="15.75" hidden="false" customHeight="false" outlineLevel="0" collapsed="false">
      <c r="A764" s="11"/>
      <c r="B764" s="11"/>
      <c r="C764" s="11"/>
      <c r="D764" s="11"/>
      <c r="E764" s="11"/>
    </row>
    <row r="765" customFormat="false" ht="15.75" hidden="false" customHeight="false" outlineLevel="0" collapsed="false">
      <c r="A765" s="11"/>
      <c r="B765" s="11"/>
      <c r="C765" s="11"/>
      <c r="D765" s="11"/>
      <c r="E765" s="11"/>
    </row>
    <row r="766" customFormat="false" ht="15.75" hidden="false" customHeight="false" outlineLevel="0" collapsed="false">
      <c r="A766" s="11"/>
      <c r="B766" s="11"/>
      <c r="C766" s="11"/>
      <c r="D766" s="11"/>
      <c r="E766" s="11"/>
    </row>
    <row r="767" customFormat="false" ht="15.75" hidden="false" customHeight="false" outlineLevel="0" collapsed="false">
      <c r="A767" s="11"/>
      <c r="B767" s="11"/>
      <c r="C767" s="11"/>
      <c r="D767" s="11"/>
      <c r="E767" s="11"/>
    </row>
    <row r="768" customFormat="false" ht="15.75" hidden="false" customHeight="false" outlineLevel="0" collapsed="false">
      <c r="A768" s="11"/>
      <c r="B768" s="11"/>
      <c r="C768" s="11"/>
      <c r="D768" s="11"/>
      <c r="E768" s="11"/>
    </row>
    <row r="769" customFormat="false" ht="15.75" hidden="false" customHeight="false" outlineLevel="0" collapsed="false">
      <c r="A769" s="11"/>
      <c r="B769" s="11"/>
      <c r="C769" s="11"/>
      <c r="D769" s="11"/>
      <c r="E769" s="11"/>
    </row>
    <row r="770" customFormat="false" ht="15.75" hidden="false" customHeight="false" outlineLevel="0" collapsed="false">
      <c r="A770" s="11"/>
      <c r="B770" s="11"/>
      <c r="C770" s="11"/>
      <c r="D770" s="11"/>
      <c r="E770" s="11"/>
    </row>
    <row r="771" customFormat="false" ht="15.75" hidden="false" customHeight="false" outlineLevel="0" collapsed="false">
      <c r="A771" s="11"/>
      <c r="B771" s="11"/>
      <c r="C771" s="11"/>
      <c r="D771" s="11"/>
      <c r="E771" s="11"/>
    </row>
    <row r="772" customFormat="false" ht="15.75" hidden="false" customHeight="false" outlineLevel="0" collapsed="false">
      <c r="A772" s="11"/>
      <c r="B772" s="11"/>
      <c r="C772" s="11"/>
      <c r="D772" s="11"/>
      <c r="E772" s="11"/>
    </row>
    <row r="773" customFormat="false" ht="15.75" hidden="false" customHeight="false" outlineLevel="0" collapsed="false">
      <c r="A773" s="11"/>
      <c r="B773" s="11"/>
      <c r="C773" s="11"/>
      <c r="D773" s="11"/>
      <c r="E773" s="11"/>
    </row>
    <row r="774" customFormat="false" ht="15.75" hidden="false" customHeight="false" outlineLevel="0" collapsed="false">
      <c r="A774" s="11"/>
      <c r="B774" s="11"/>
      <c r="C774" s="11"/>
      <c r="D774" s="11"/>
      <c r="E774" s="11"/>
    </row>
    <row r="775" customFormat="false" ht="15.75" hidden="false" customHeight="false" outlineLevel="0" collapsed="false">
      <c r="A775" s="11"/>
      <c r="B775" s="11"/>
      <c r="C775" s="11"/>
      <c r="D775" s="11"/>
      <c r="E775" s="11"/>
    </row>
    <row r="776" customFormat="false" ht="15.75" hidden="false" customHeight="false" outlineLevel="0" collapsed="false">
      <c r="A776" s="11"/>
      <c r="B776" s="11"/>
      <c r="C776" s="11"/>
      <c r="D776" s="11"/>
      <c r="E776" s="11"/>
    </row>
    <row r="777" customFormat="false" ht="15.75" hidden="false" customHeight="false" outlineLevel="0" collapsed="false">
      <c r="A777" s="11"/>
      <c r="B777" s="11"/>
      <c r="C777" s="11"/>
      <c r="D777" s="11"/>
      <c r="E777" s="11"/>
    </row>
    <row r="778" customFormat="false" ht="15.75" hidden="false" customHeight="false" outlineLevel="0" collapsed="false">
      <c r="A778" s="11"/>
      <c r="B778" s="11"/>
      <c r="C778" s="11"/>
      <c r="D778" s="11"/>
      <c r="E778" s="11"/>
    </row>
    <row r="779" customFormat="false" ht="15.75" hidden="false" customHeight="false" outlineLevel="0" collapsed="false">
      <c r="A779" s="11"/>
      <c r="B779" s="11"/>
      <c r="C779" s="11"/>
      <c r="D779" s="11"/>
      <c r="E779" s="11"/>
    </row>
    <row r="780" customFormat="false" ht="15.75" hidden="false" customHeight="false" outlineLevel="0" collapsed="false">
      <c r="A780" s="11"/>
      <c r="B780" s="11"/>
      <c r="C780" s="11"/>
      <c r="D780" s="11"/>
      <c r="E780" s="11"/>
    </row>
    <row r="781" customFormat="false" ht="15.75" hidden="false" customHeight="false" outlineLevel="0" collapsed="false">
      <c r="A781" s="11"/>
      <c r="B781" s="11"/>
      <c r="C781" s="11"/>
      <c r="D781" s="11"/>
      <c r="E781" s="11"/>
    </row>
    <row r="782" customFormat="false" ht="15.75" hidden="false" customHeight="false" outlineLevel="0" collapsed="false">
      <c r="A782" s="11"/>
      <c r="B782" s="11"/>
      <c r="C782" s="11"/>
      <c r="D782" s="11"/>
      <c r="E782" s="11"/>
    </row>
    <row r="783" customFormat="false" ht="15.75" hidden="false" customHeight="false" outlineLevel="0" collapsed="false">
      <c r="A783" s="11"/>
      <c r="B783" s="11"/>
      <c r="C783" s="11"/>
      <c r="D783" s="11"/>
      <c r="E783" s="11"/>
    </row>
    <row r="784" customFormat="false" ht="15.75" hidden="false" customHeight="false" outlineLevel="0" collapsed="false">
      <c r="A784" s="11"/>
      <c r="B784" s="11"/>
      <c r="C784" s="11"/>
      <c r="D784" s="11"/>
      <c r="E784" s="11"/>
    </row>
    <row r="785" customFormat="false" ht="15.75" hidden="false" customHeight="false" outlineLevel="0" collapsed="false">
      <c r="A785" s="11"/>
      <c r="B785" s="11"/>
      <c r="C785" s="11"/>
      <c r="D785" s="11"/>
      <c r="E785" s="11"/>
    </row>
    <row r="786" customFormat="false" ht="15.75" hidden="false" customHeight="false" outlineLevel="0" collapsed="false">
      <c r="A786" s="11"/>
      <c r="B786" s="11"/>
      <c r="C786" s="11"/>
      <c r="D786" s="11"/>
      <c r="E786" s="11"/>
    </row>
    <row r="787" customFormat="false" ht="15.75" hidden="false" customHeight="false" outlineLevel="0" collapsed="false">
      <c r="A787" s="11"/>
      <c r="B787" s="11"/>
      <c r="C787" s="11"/>
      <c r="D787" s="11"/>
      <c r="E787" s="11"/>
    </row>
    <row r="788" customFormat="false" ht="15.75" hidden="false" customHeight="false" outlineLevel="0" collapsed="false">
      <c r="A788" s="11"/>
      <c r="B788" s="11"/>
      <c r="C788" s="11"/>
      <c r="D788" s="11"/>
      <c r="E788" s="11"/>
    </row>
    <row r="789" customFormat="false" ht="15.75" hidden="false" customHeight="false" outlineLevel="0" collapsed="false">
      <c r="A789" s="11"/>
      <c r="B789" s="11"/>
      <c r="C789" s="11"/>
      <c r="D789" s="11"/>
      <c r="E789" s="11"/>
    </row>
    <row r="790" customFormat="false" ht="15.75" hidden="false" customHeight="false" outlineLevel="0" collapsed="false">
      <c r="A790" s="11"/>
      <c r="B790" s="11"/>
      <c r="C790" s="11"/>
      <c r="D790" s="11"/>
      <c r="E790" s="11"/>
    </row>
    <row r="791" customFormat="false" ht="15.75" hidden="false" customHeight="false" outlineLevel="0" collapsed="false">
      <c r="A791" s="11"/>
      <c r="B791" s="11"/>
      <c r="C791" s="11"/>
      <c r="D791" s="11"/>
      <c r="E791" s="11"/>
    </row>
    <row r="792" customFormat="false" ht="15.75" hidden="false" customHeight="false" outlineLevel="0" collapsed="false">
      <c r="A792" s="11"/>
      <c r="B792" s="11"/>
      <c r="C792" s="11"/>
      <c r="D792" s="11"/>
      <c r="E792" s="11"/>
    </row>
    <row r="793" customFormat="false" ht="15.75" hidden="false" customHeight="false" outlineLevel="0" collapsed="false">
      <c r="A793" s="11"/>
      <c r="B793" s="11"/>
      <c r="C793" s="11"/>
      <c r="D793" s="11"/>
      <c r="E793" s="11"/>
    </row>
    <row r="794" customFormat="false" ht="15.75" hidden="false" customHeight="false" outlineLevel="0" collapsed="false">
      <c r="A794" s="11"/>
      <c r="B794" s="11"/>
      <c r="C794" s="11"/>
      <c r="D794" s="11"/>
      <c r="E794" s="11"/>
    </row>
    <row r="795" customFormat="false" ht="15.75" hidden="false" customHeight="false" outlineLevel="0" collapsed="false">
      <c r="A795" s="11"/>
      <c r="B795" s="11"/>
      <c r="C795" s="11"/>
      <c r="D795" s="11"/>
      <c r="E795" s="11"/>
    </row>
    <row r="796" customFormat="false" ht="15.75" hidden="false" customHeight="false" outlineLevel="0" collapsed="false">
      <c r="A796" s="11"/>
      <c r="B796" s="11"/>
      <c r="C796" s="11"/>
      <c r="D796" s="11"/>
      <c r="E796" s="11"/>
    </row>
    <row r="797" customFormat="false" ht="15.75" hidden="false" customHeight="false" outlineLevel="0" collapsed="false">
      <c r="A797" s="11"/>
      <c r="B797" s="11"/>
      <c r="C797" s="11"/>
      <c r="D797" s="11"/>
      <c r="E797" s="11"/>
    </row>
    <row r="798" customFormat="false" ht="15.75" hidden="false" customHeight="false" outlineLevel="0" collapsed="false">
      <c r="A798" s="11"/>
      <c r="B798" s="11"/>
      <c r="C798" s="11"/>
      <c r="D798" s="11"/>
      <c r="E798" s="11"/>
    </row>
    <row r="799" customFormat="false" ht="15.75" hidden="false" customHeight="false" outlineLevel="0" collapsed="false">
      <c r="A799" s="11"/>
      <c r="B799" s="11"/>
      <c r="C799" s="11"/>
      <c r="D799" s="11"/>
      <c r="E799" s="11"/>
    </row>
    <row r="800" customFormat="false" ht="15.75" hidden="false" customHeight="false" outlineLevel="0" collapsed="false">
      <c r="A800" s="11"/>
      <c r="B800" s="11"/>
      <c r="C800" s="11"/>
      <c r="D800" s="11"/>
      <c r="E800" s="11"/>
    </row>
    <row r="801" customFormat="false" ht="15.75" hidden="false" customHeight="false" outlineLevel="0" collapsed="false">
      <c r="A801" s="11"/>
      <c r="B801" s="11"/>
      <c r="C801" s="11"/>
      <c r="D801" s="11"/>
      <c r="E801" s="11"/>
    </row>
    <row r="802" customFormat="false" ht="15.75" hidden="false" customHeight="false" outlineLevel="0" collapsed="false">
      <c r="A802" s="11"/>
      <c r="B802" s="11"/>
      <c r="C802" s="11"/>
      <c r="D802" s="11"/>
      <c r="E802" s="11"/>
    </row>
    <row r="803" customFormat="false" ht="15.75" hidden="false" customHeight="false" outlineLevel="0" collapsed="false">
      <c r="A803" s="11"/>
      <c r="B803" s="11"/>
      <c r="C803" s="11"/>
      <c r="D803" s="11"/>
      <c r="E803" s="11"/>
    </row>
    <row r="804" customFormat="false" ht="15.75" hidden="false" customHeight="false" outlineLevel="0" collapsed="false">
      <c r="A804" s="11"/>
      <c r="B804" s="11"/>
      <c r="C804" s="11"/>
      <c r="D804" s="11"/>
      <c r="E804" s="11"/>
    </row>
    <row r="805" customFormat="false" ht="15.75" hidden="false" customHeight="false" outlineLevel="0" collapsed="false">
      <c r="A805" s="11"/>
      <c r="B805" s="11"/>
      <c r="C805" s="11"/>
      <c r="D805" s="11"/>
      <c r="E805" s="11"/>
    </row>
    <row r="806" customFormat="false" ht="15.75" hidden="false" customHeight="false" outlineLevel="0" collapsed="false">
      <c r="A806" s="11"/>
      <c r="B806" s="11"/>
      <c r="C806" s="11"/>
      <c r="D806" s="11"/>
      <c r="E806" s="11"/>
    </row>
    <row r="807" customFormat="false" ht="15.75" hidden="false" customHeight="false" outlineLevel="0" collapsed="false">
      <c r="A807" s="11"/>
      <c r="B807" s="11"/>
      <c r="C807" s="11"/>
      <c r="D807" s="11"/>
      <c r="E807" s="11"/>
    </row>
    <row r="808" customFormat="false" ht="15.75" hidden="false" customHeight="false" outlineLevel="0" collapsed="false">
      <c r="A808" s="11"/>
      <c r="B808" s="11"/>
      <c r="C808" s="11"/>
      <c r="D808" s="11"/>
      <c r="E808" s="11"/>
    </row>
    <row r="809" customFormat="false" ht="15.75" hidden="false" customHeight="false" outlineLevel="0" collapsed="false">
      <c r="A809" s="11"/>
      <c r="B809" s="11"/>
      <c r="C809" s="11"/>
      <c r="D809" s="11"/>
      <c r="E809" s="11"/>
    </row>
    <row r="810" customFormat="false" ht="15.75" hidden="false" customHeight="false" outlineLevel="0" collapsed="false">
      <c r="A810" s="11"/>
      <c r="B810" s="11"/>
      <c r="C810" s="11"/>
      <c r="D810" s="11"/>
      <c r="E810" s="11"/>
    </row>
    <row r="811" customFormat="false" ht="15.75" hidden="false" customHeight="false" outlineLevel="0" collapsed="false">
      <c r="A811" s="11"/>
      <c r="B811" s="11"/>
      <c r="C811" s="11"/>
      <c r="D811" s="11"/>
      <c r="E811" s="11"/>
    </row>
    <row r="812" customFormat="false" ht="15.75" hidden="false" customHeight="false" outlineLevel="0" collapsed="false">
      <c r="A812" s="11"/>
      <c r="B812" s="11"/>
      <c r="C812" s="11"/>
      <c r="D812" s="11"/>
      <c r="E812" s="11"/>
    </row>
    <row r="813" customFormat="false" ht="15.75" hidden="false" customHeight="false" outlineLevel="0" collapsed="false">
      <c r="A813" s="11"/>
      <c r="B813" s="11"/>
      <c r="C813" s="11"/>
      <c r="D813" s="11"/>
      <c r="E813" s="11"/>
    </row>
    <row r="814" customFormat="false" ht="15.75" hidden="false" customHeight="false" outlineLevel="0" collapsed="false">
      <c r="A814" s="11"/>
      <c r="B814" s="11"/>
      <c r="C814" s="11"/>
      <c r="D814" s="11"/>
      <c r="E814" s="11"/>
    </row>
    <row r="815" customFormat="false" ht="15.75" hidden="false" customHeight="false" outlineLevel="0" collapsed="false">
      <c r="A815" s="11"/>
      <c r="B815" s="11"/>
      <c r="C815" s="11"/>
      <c r="D815" s="11"/>
      <c r="E815" s="11"/>
    </row>
    <row r="816" customFormat="false" ht="15.75" hidden="false" customHeight="false" outlineLevel="0" collapsed="false">
      <c r="A816" s="11"/>
      <c r="B816" s="11"/>
      <c r="C816" s="11"/>
      <c r="D816" s="11"/>
      <c r="E816" s="11"/>
    </row>
    <row r="817" customFormat="false" ht="15.75" hidden="false" customHeight="false" outlineLevel="0" collapsed="false">
      <c r="A817" s="11"/>
      <c r="B817" s="11"/>
      <c r="C817" s="11"/>
      <c r="D817" s="11"/>
      <c r="E817" s="11"/>
    </row>
    <row r="818" customFormat="false" ht="15.75" hidden="false" customHeight="false" outlineLevel="0" collapsed="false">
      <c r="A818" s="11"/>
      <c r="B818" s="11"/>
      <c r="C818" s="11"/>
      <c r="D818" s="11"/>
      <c r="E818" s="11"/>
    </row>
    <row r="819" customFormat="false" ht="15.75" hidden="false" customHeight="false" outlineLevel="0" collapsed="false">
      <c r="A819" s="11"/>
      <c r="B819" s="11"/>
      <c r="C819" s="11"/>
      <c r="D819" s="11"/>
      <c r="E819" s="11"/>
    </row>
    <row r="820" customFormat="false" ht="15.75" hidden="false" customHeight="false" outlineLevel="0" collapsed="false">
      <c r="A820" s="11"/>
      <c r="B820" s="11"/>
      <c r="C820" s="11"/>
      <c r="D820" s="11"/>
      <c r="E820" s="11"/>
    </row>
    <row r="821" customFormat="false" ht="15.75" hidden="false" customHeight="false" outlineLevel="0" collapsed="false">
      <c r="A821" s="11"/>
      <c r="B821" s="11"/>
      <c r="C821" s="11"/>
      <c r="D821" s="11"/>
      <c r="E821" s="11"/>
    </row>
    <row r="822" customFormat="false" ht="15.75" hidden="false" customHeight="false" outlineLevel="0" collapsed="false">
      <c r="A822" s="11"/>
      <c r="B822" s="11"/>
      <c r="C822" s="11"/>
      <c r="D822" s="11"/>
      <c r="E822" s="11"/>
    </row>
    <row r="823" customFormat="false" ht="15.75" hidden="false" customHeight="false" outlineLevel="0" collapsed="false">
      <c r="A823" s="11"/>
      <c r="B823" s="11"/>
      <c r="C823" s="11"/>
      <c r="D823" s="11"/>
      <c r="E823" s="11"/>
    </row>
    <row r="824" customFormat="false" ht="15.75" hidden="false" customHeight="false" outlineLevel="0" collapsed="false">
      <c r="A824" s="11"/>
      <c r="B824" s="11"/>
      <c r="C824" s="11"/>
      <c r="D824" s="11"/>
      <c r="E824" s="11"/>
    </row>
    <row r="825" customFormat="false" ht="15.75" hidden="false" customHeight="false" outlineLevel="0" collapsed="false">
      <c r="A825" s="11"/>
      <c r="B825" s="11"/>
      <c r="C825" s="11"/>
      <c r="D825" s="11"/>
      <c r="E825" s="11"/>
    </row>
    <row r="826" customFormat="false" ht="15.75" hidden="false" customHeight="false" outlineLevel="0" collapsed="false">
      <c r="A826" s="11"/>
      <c r="B826" s="11"/>
      <c r="C826" s="11"/>
      <c r="D826" s="11"/>
      <c r="E826" s="11"/>
    </row>
    <row r="827" customFormat="false" ht="15.75" hidden="false" customHeight="false" outlineLevel="0" collapsed="false">
      <c r="A827" s="11"/>
      <c r="B827" s="11"/>
      <c r="C827" s="11"/>
      <c r="D827" s="11"/>
      <c r="E827" s="11"/>
    </row>
    <row r="828" customFormat="false" ht="15.75" hidden="false" customHeight="false" outlineLevel="0" collapsed="false">
      <c r="A828" s="11"/>
      <c r="B828" s="11"/>
      <c r="C828" s="11"/>
      <c r="D828" s="11"/>
      <c r="E828" s="11"/>
    </row>
    <row r="829" customFormat="false" ht="15.75" hidden="false" customHeight="false" outlineLevel="0" collapsed="false">
      <c r="A829" s="11"/>
      <c r="B829" s="11"/>
      <c r="C829" s="11"/>
      <c r="D829" s="11"/>
      <c r="E829" s="11"/>
    </row>
    <row r="830" customFormat="false" ht="15.75" hidden="false" customHeight="false" outlineLevel="0" collapsed="false">
      <c r="A830" s="11"/>
      <c r="B830" s="11"/>
      <c r="C830" s="11"/>
      <c r="D830" s="11"/>
      <c r="E830" s="11"/>
    </row>
    <row r="831" customFormat="false" ht="15.75" hidden="false" customHeight="false" outlineLevel="0" collapsed="false">
      <c r="A831" s="11"/>
      <c r="B831" s="11"/>
      <c r="C831" s="11"/>
      <c r="D831" s="11"/>
      <c r="E831" s="11"/>
    </row>
    <row r="832" customFormat="false" ht="15.75" hidden="false" customHeight="false" outlineLevel="0" collapsed="false">
      <c r="A832" s="11"/>
      <c r="B832" s="11"/>
      <c r="C832" s="11"/>
      <c r="D832" s="11"/>
      <c r="E832" s="11"/>
    </row>
    <row r="833" customFormat="false" ht="15.75" hidden="false" customHeight="false" outlineLevel="0" collapsed="false">
      <c r="A833" s="11"/>
      <c r="B833" s="11"/>
      <c r="C833" s="11"/>
      <c r="D833" s="11"/>
      <c r="E833" s="11"/>
    </row>
    <row r="834" customFormat="false" ht="15.75" hidden="false" customHeight="false" outlineLevel="0" collapsed="false">
      <c r="A834" s="11"/>
      <c r="B834" s="11"/>
      <c r="C834" s="11"/>
      <c r="D834" s="11"/>
      <c r="E834" s="11"/>
    </row>
    <row r="835" customFormat="false" ht="15.75" hidden="false" customHeight="false" outlineLevel="0" collapsed="false">
      <c r="A835" s="11"/>
      <c r="B835" s="11"/>
      <c r="C835" s="11"/>
      <c r="D835" s="11"/>
      <c r="E835" s="11"/>
    </row>
    <row r="836" customFormat="false" ht="15.75" hidden="false" customHeight="false" outlineLevel="0" collapsed="false">
      <c r="A836" s="11"/>
      <c r="B836" s="11"/>
      <c r="C836" s="11"/>
      <c r="D836" s="11"/>
      <c r="E836" s="11"/>
    </row>
    <row r="837" customFormat="false" ht="15.75" hidden="false" customHeight="false" outlineLevel="0" collapsed="false">
      <c r="A837" s="11"/>
      <c r="B837" s="11"/>
      <c r="C837" s="11"/>
      <c r="D837" s="11"/>
      <c r="E837" s="11"/>
    </row>
    <row r="838" customFormat="false" ht="15.75" hidden="false" customHeight="false" outlineLevel="0" collapsed="false">
      <c r="A838" s="11"/>
      <c r="B838" s="11"/>
      <c r="C838" s="11"/>
      <c r="D838" s="11"/>
      <c r="E838" s="11"/>
    </row>
    <row r="839" customFormat="false" ht="15.75" hidden="false" customHeight="false" outlineLevel="0" collapsed="false">
      <c r="A839" s="11"/>
      <c r="B839" s="11"/>
      <c r="C839" s="11"/>
      <c r="D839" s="11"/>
      <c r="E839" s="11"/>
    </row>
    <row r="840" customFormat="false" ht="15.75" hidden="false" customHeight="false" outlineLevel="0" collapsed="false">
      <c r="A840" s="11"/>
      <c r="B840" s="11"/>
      <c r="C840" s="11"/>
      <c r="D840" s="11"/>
      <c r="E840" s="11"/>
    </row>
    <row r="841" customFormat="false" ht="15.75" hidden="false" customHeight="false" outlineLevel="0" collapsed="false">
      <c r="A841" s="11"/>
      <c r="B841" s="11"/>
      <c r="C841" s="11"/>
      <c r="D841" s="11"/>
      <c r="E841" s="11"/>
    </row>
    <row r="842" customFormat="false" ht="15.75" hidden="false" customHeight="false" outlineLevel="0" collapsed="false">
      <c r="A842" s="11"/>
      <c r="B842" s="11"/>
      <c r="C842" s="11"/>
      <c r="D842" s="11"/>
      <c r="E842" s="11"/>
    </row>
    <row r="843" customFormat="false" ht="15.75" hidden="false" customHeight="false" outlineLevel="0" collapsed="false">
      <c r="A843" s="11"/>
      <c r="B843" s="11"/>
      <c r="C843" s="11"/>
      <c r="D843" s="11"/>
      <c r="E843" s="11"/>
    </row>
    <row r="844" customFormat="false" ht="15.75" hidden="false" customHeight="false" outlineLevel="0" collapsed="false">
      <c r="A844" s="11"/>
      <c r="B844" s="11"/>
      <c r="C844" s="11"/>
      <c r="D844" s="11"/>
      <c r="E844" s="11"/>
    </row>
    <row r="845" customFormat="false" ht="15.75" hidden="false" customHeight="false" outlineLevel="0" collapsed="false">
      <c r="A845" s="11"/>
      <c r="B845" s="11"/>
      <c r="C845" s="11"/>
      <c r="D845" s="11"/>
      <c r="E845" s="11"/>
    </row>
    <row r="846" customFormat="false" ht="15.75" hidden="false" customHeight="false" outlineLevel="0" collapsed="false">
      <c r="A846" s="11"/>
      <c r="B846" s="11"/>
      <c r="C846" s="11"/>
      <c r="D846" s="11"/>
      <c r="E846" s="11"/>
    </row>
    <row r="847" customFormat="false" ht="15.75" hidden="false" customHeight="false" outlineLevel="0" collapsed="false">
      <c r="A847" s="11"/>
      <c r="B847" s="11"/>
      <c r="C847" s="11"/>
      <c r="D847" s="11"/>
      <c r="E847" s="11"/>
    </row>
    <row r="848" customFormat="false" ht="15.75" hidden="false" customHeight="false" outlineLevel="0" collapsed="false">
      <c r="A848" s="11"/>
      <c r="B848" s="11"/>
      <c r="C848" s="11"/>
      <c r="D848" s="11"/>
      <c r="E848" s="11"/>
    </row>
    <row r="849" customFormat="false" ht="15.75" hidden="false" customHeight="false" outlineLevel="0" collapsed="false">
      <c r="A849" s="11"/>
      <c r="B849" s="11"/>
      <c r="C849" s="11"/>
      <c r="D849" s="11"/>
      <c r="E849" s="11"/>
    </row>
    <row r="850" customFormat="false" ht="15.75" hidden="false" customHeight="false" outlineLevel="0" collapsed="false">
      <c r="A850" s="11"/>
      <c r="B850" s="11"/>
      <c r="C850" s="11"/>
      <c r="D850" s="11"/>
      <c r="E850" s="11"/>
    </row>
    <row r="851" customFormat="false" ht="15.75" hidden="false" customHeight="false" outlineLevel="0" collapsed="false">
      <c r="A851" s="11"/>
      <c r="B851" s="11"/>
      <c r="C851" s="11"/>
      <c r="D851" s="11"/>
      <c r="E851" s="11"/>
    </row>
    <row r="852" customFormat="false" ht="15.75" hidden="false" customHeight="false" outlineLevel="0" collapsed="false">
      <c r="A852" s="11"/>
      <c r="B852" s="11"/>
      <c r="C852" s="11"/>
      <c r="D852" s="11"/>
      <c r="E852" s="11"/>
    </row>
    <row r="853" customFormat="false" ht="15.75" hidden="false" customHeight="false" outlineLevel="0" collapsed="false">
      <c r="A853" s="11"/>
      <c r="B853" s="11"/>
      <c r="C853" s="11"/>
      <c r="D853" s="11"/>
      <c r="E853" s="11"/>
    </row>
    <row r="854" customFormat="false" ht="15.75" hidden="false" customHeight="false" outlineLevel="0" collapsed="false">
      <c r="A854" s="11"/>
      <c r="B854" s="11"/>
      <c r="C854" s="11"/>
      <c r="D854" s="11"/>
      <c r="E854" s="11"/>
    </row>
    <row r="855" customFormat="false" ht="15.75" hidden="false" customHeight="false" outlineLevel="0" collapsed="false">
      <c r="A855" s="11"/>
      <c r="B855" s="11"/>
      <c r="C855" s="11"/>
      <c r="D855" s="11"/>
      <c r="E855" s="11"/>
    </row>
    <row r="856" customFormat="false" ht="15.75" hidden="false" customHeight="false" outlineLevel="0" collapsed="false">
      <c r="A856" s="11"/>
      <c r="B856" s="11"/>
      <c r="C856" s="11"/>
      <c r="D856" s="11"/>
      <c r="E856" s="11"/>
    </row>
    <row r="857" customFormat="false" ht="15.75" hidden="false" customHeight="false" outlineLevel="0" collapsed="false">
      <c r="A857" s="11"/>
      <c r="B857" s="11"/>
      <c r="C857" s="11"/>
      <c r="D857" s="11"/>
      <c r="E857" s="11"/>
    </row>
    <row r="858" customFormat="false" ht="15.75" hidden="false" customHeight="false" outlineLevel="0" collapsed="false">
      <c r="A858" s="11"/>
      <c r="B858" s="11"/>
      <c r="C858" s="11"/>
      <c r="D858" s="11"/>
      <c r="E858" s="11"/>
    </row>
    <row r="859" customFormat="false" ht="15.75" hidden="false" customHeight="false" outlineLevel="0" collapsed="false">
      <c r="A859" s="11"/>
      <c r="B859" s="11"/>
      <c r="C859" s="11"/>
      <c r="D859" s="11"/>
      <c r="E859" s="11"/>
    </row>
    <row r="860" customFormat="false" ht="15.75" hidden="false" customHeight="false" outlineLevel="0" collapsed="false">
      <c r="A860" s="11"/>
      <c r="B860" s="11"/>
      <c r="C860" s="11"/>
      <c r="D860" s="11"/>
      <c r="E860" s="11"/>
    </row>
    <row r="861" customFormat="false" ht="15.75" hidden="false" customHeight="false" outlineLevel="0" collapsed="false">
      <c r="A861" s="11"/>
      <c r="B861" s="11"/>
      <c r="C861" s="11"/>
      <c r="D861" s="11"/>
      <c r="E861" s="11"/>
    </row>
    <row r="862" customFormat="false" ht="15.75" hidden="false" customHeight="false" outlineLevel="0" collapsed="false">
      <c r="A862" s="11"/>
      <c r="B862" s="11"/>
      <c r="C862" s="11"/>
      <c r="D862" s="11"/>
      <c r="E862" s="11"/>
    </row>
    <row r="863" customFormat="false" ht="15.75" hidden="false" customHeight="false" outlineLevel="0" collapsed="false">
      <c r="A863" s="11"/>
      <c r="B863" s="11"/>
      <c r="C863" s="11"/>
      <c r="D863" s="11"/>
      <c r="E863" s="11"/>
    </row>
    <row r="864" customFormat="false" ht="15.75" hidden="false" customHeight="false" outlineLevel="0" collapsed="false">
      <c r="A864" s="11"/>
      <c r="B864" s="11"/>
      <c r="C864" s="11"/>
      <c r="D864" s="11"/>
      <c r="E864" s="11"/>
    </row>
    <row r="865" customFormat="false" ht="15.75" hidden="false" customHeight="false" outlineLevel="0" collapsed="false">
      <c r="A865" s="11"/>
      <c r="B865" s="11"/>
      <c r="C865" s="11"/>
      <c r="D865" s="11"/>
      <c r="E865" s="11"/>
    </row>
    <row r="866" customFormat="false" ht="15.75" hidden="false" customHeight="false" outlineLevel="0" collapsed="false">
      <c r="A866" s="11"/>
      <c r="B866" s="11"/>
      <c r="C866" s="11"/>
      <c r="D866" s="11"/>
      <c r="E866" s="11"/>
    </row>
    <row r="867" customFormat="false" ht="15.75" hidden="false" customHeight="false" outlineLevel="0" collapsed="false">
      <c r="A867" s="11"/>
      <c r="B867" s="11"/>
      <c r="C867" s="11"/>
      <c r="D867" s="11"/>
      <c r="E867" s="11"/>
    </row>
    <row r="868" customFormat="false" ht="15.75" hidden="false" customHeight="false" outlineLevel="0" collapsed="false">
      <c r="A868" s="11"/>
      <c r="B868" s="11"/>
      <c r="C868" s="11"/>
      <c r="D868" s="11"/>
      <c r="E868" s="11"/>
    </row>
    <row r="869" customFormat="false" ht="15.75" hidden="false" customHeight="false" outlineLevel="0" collapsed="false">
      <c r="A869" s="11"/>
      <c r="B869" s="11"/>
      <c r="C869" s="11"/>
      <c r="D869" s="11"/>
      <c r="E869" s="11"/>
    </row>
    <row r="870" customFormat="false" ht="15.75" hidden="false" customHeight="false" outlineLevel="0" collapsed="false">
      <c r="A870" s="11"/>
      <c r="B870" s="11"/>
      <c r="C870" s="11"/>
      <c r="D870" s="11"/>
      <c r="E870" s="11"/>
    </row>
    <row r="871" customFormat="false" ht="15.75" hidden="false" customHeight="false" outlineLevel="0" collapsed="false">
      <c r="A871" s="11"/>
      <c r="B871" s="11"/>
      <c r="C871" s="11"/>
      <c r="D871" s="11"/>
      <c r="E871" s="11"/>
    </row>
    <row r="872" customFormat="false" ht="15.75" hidden="false" customHeight="false" outlineLevel="0" collapsed="false">
      <c r="A872" s="11"/>
      <c r="B872" s="11"/>
      <c r="C872" s="11"/>
      <c r="D872" s="11"/>
      <c r="E872" s="11"/>
    </row>
    <row r="873" customFormat="false" ht="15.75" hidden="false" customHeight="false" outlineLevel="0" collapsed="false">
      <c r="A873" s="11"/>
      <c r="B873" s="11"/>
      <c r="C873" s="11"/>
      <c r="D873" s="11"/>
      <c r="E873" s="11"/>
    </row>
    <row r="874" customFormat="false" ht="15.75" hidden="false" customHeight="false" outlineLevel="0" collapsed="false">
      <c r="A874" s="11"/>
      <c r="B874" s="11"/>
      <c r="C874" s="11"/>
      <c r="D874" s="11"/>
      <c r="E874" s="11"/>
    </row>
    <row r="875" customFormat="false" ht="15.75" hidden="false" customHeight="false" outlineLevel="0" collapsed="false">
      <c r="A875" s="11"/>
      <c r="B875" s="11"/>
      <c r="C875" s="11"/>
      <c r="D875" s="11"/>
      <c r="E875" s="11"/>
    </row>
    <row r="876" customFormat="false" ht="15.75" hidden="false" customHeight="false" outlineLevel="0" collapsed="false">
      <c r="A876" s="11"/>
      <c r="B876" s="11"/>
      <c r="C876" s="11"/>
      <c r="D876" s="11"/>
      <c r="E876" s="11"/>
    </row>
    <row r="877" customFormat="false" ht="15.75" hidden="false" customHeight="false" outlineLevel="0" collapsed="false">
      <c r="A877" s="11"/>
      <c r="B877" s="11"/>
      <c r="C877" s="11"/>
      <c r="D877" s="11"/>
      <c r="E877" s="11"/>
    </row>
    <row r="878" customFormat="false" ht="15.75" hidden="false" customHeight="false" outlineLevel="0" collapsed="false">
      <c r="A878" s="11"/>
      <c r="B878" s="11"/>
      <c r="C878" s="11"/>
      <c r="D878" s="11"/>
      <c r="E878" s="11"/>
    </row>
    <row r="879" customFormat="false" ht="15.75" hidden="false" customHeight="false" outlineLevel="0" collapsed="false">
      <c r="A879" s="11"/>
      <c r="B879" s="11"/>
      <c r="C879" s="11"/>
      <c r="D879" s="11"/>
      <c r="E879" s="11"/>
    </row>
    <row r="880" customFormat="false" ht="15.75" hidden="false" customHeight="false" outlineLevel="0" collapsed="false">
      <c r="A880" s="11"/>
      <c r="B880" s="11"/>
      <c r="C880" s="11"/>
      <c r="D880" s="11"/>
      <c r="E880" s="11"/>
    </row>
    <row r="881" customFormat="false" ht="15.75" hidden="false" customHeight="false" outlineLevel="0" collapsed="false">
      <c r="A881" s="11"/>
      <c r="B881" s="11"/>
      <c r="C881" s="11"/>
      <c r="D881" s="11"/>
      <c r="E881" s="11"/>
    </row>
    <row r="882" customFormat="false" ht="15.75" hidden="false" customHeight="false" outlineLevel="0" collapsed="false">
      <c r="A882" s="11"/>
      <c r="B882" s="11"/>
      <c r="C882" s="11"/>
      <c r="D882" s="11"/>
      <c r="E882" s="11"/>
    </row>
    <row r="883" customFormat="false" ht="15.75" hidden="false" customHeight="false" outlineLevel="0" collapsed="false">
      <c r="A883" s="11"/>
      <c r="B883" s="11"/>
      <c r="C883" s="11"/>
      <c r="D883" s="11"/>
      <c r="E883" s="11"/>
    </row>
    <row r="884" customFormat="false" ht="15.75" hidden="false" customHeight="false" outlineLevel="0" collapsed="false">
      <c r="A884" s="11"/>
      <c r="B884" s="11"/>
      <c r="C884" s="11"/>
      <c r="D884" s="11"/>
      <c r="E884" s="11"/>
    </row>
    <row r="885" customFormat="false" ht="15.75" hidden="false" customHeight="false" outlineLevel="0" collapsed="false">
      <c r="A885" s="11"/>
      <c r="B885" s="11"/>
      <c r="C885" s="11"/>
      <c r="D885" s="11"/>
      <c r="E885" s="11"/>
    </row>
    <row r="886" customFormat="false" ht="15.75" hidden="false" customHeight="false" outlineLevel="0" collapsed="false">
      <c r="A886" s="11"/>
      <c r="B886" s="11"/>
      <c r="C886" s="11"/>
      <c r="D886" s="11"/>
      <c r="E886" s="11"/>
    </row>
    <row r="887" customFormat="false" ht="15.75" hidden="false" customHeight="false" outlineLevel="0" collapsed="false">
      <c r="A887" s="11"/>
      <c r="B887" s="11"/>
      <c r="C887" s="11"/>
      <c r="D887" s="11"/>
      <c r="E887" s="11"/>
    </row>
    <row r="888" customFormat="false" ht="15.75" hidden="false" customHeight="false" outlineLevel="0" collapsed="false">
      <c r="A888" s="11"/>
      <c r="B888" s="11"/>
      <c r="C888" s="11"/>
      <c r="D888" s="11"/>
      <c r="E888" s="11"/>
    </row>
    <row r="889" customFormat="false" ht="15.75" hidden="false" customHeight="false" outlineLevel="0" collapsed="false">
      <c r="A889" s="11"/>
      <c r="B889" s="11"/>
      <c r="C889" s="11"/>
      <c r="D889" s="11"/>
      <c r="E889" s="11"/>
    </row>
    <row r="890" customFormat="false" ht="15.75" hidden="false" customHeight="false" outlineLevel="0" collapsed="false">
      <c r="A890" s="11"/>
      <c r="B890" s="11"/>
      <c r="C890" s="11"/>
      <c r="D890" s="11"/>
      <c r="E890" s="11"/>
    </row>
    <row r="891" customFormat="false" ht="15.75" hidden="false" customHeight="false" outlineLevel="0" collapsed="false">
      <c r="A891" s="11"/>
      <c r="B891" s="11"/>
      <c r="C891" s="11"/>
      <c r="D891" s="11"/>
      <c r="E891" s="11"/>
    </row>
    <row r="892" customFormat="false" ht="15.75" hidden="false" customHeight="false" outlineLevel="0" collapsed="false">
      <c r="A892" s="11"/>
      <c r="B892" s="11"/>
      <c r="C892" s="11"/>
      <c r="D892" s="11"/>
      <c r="E892" s="11"/>
    </row>
    <row r="893" customFormat="false" ht="15.75" hidden="false" customHeight="false" outlineLevel="0" collapsed="false">
      <c r="A893" s="11"/>
      <c r="B893" s="11"/>
      <c r="C893" s="11"/>
      <c r="D893" s="11"/>
      <c r="E893" s="11"/>
    </row>
    <row r="894" customFormat="false" ht="15.75" hidden="false" customHeight="false" outlineLevel="0" collapsed="false">
      <c r="A894" s="11"/>
      <c r="B894" s="11"/>
      <c r="C894" s="11"/>
      <c r="D894" s="11"/>
      <c r="E894" s="11"/>
    </row>
    <row r="895" customFormat="false" ht="15.75" hidden="false" customHeight="false" outlineLevel="0" collapsed="false">
      <c r="A895" s="11"/>
      <c r="B895" s="11"/>
      <c r="C895" s="11"/>
      <c r="D895" s="11"/>
      <c r="E895" s="11"/>
    </row>
    <row r="896" customFormat="false" ht="15.75" hidden="false" customHeight="false" outlineLevel="0" collapsed="false">
      <c r="A896" s="11"/>
      <c r="B896" s="11"/>
      <c r="C896" s="11"/>
      <c r="D896" s="11"/>
      <c r="E896" s="11"/>
    </row>
    <row r="897" customFormat="false" ht="15.75" hidden="false" customHeight="false" outlineLevel="0" collapsed="false">
      <c r="A897" s="11"/>
      <c r="B897" s="11"/>
      <c r="C897" s="11"/>
      <c r="D897" s="11"/>
      <c r="E897" s="11"/>
    </row>
    <row r="898" customFormat="false" ht="15.75" hidden="false" customHeight="false" outlineLevel="0" collapsed="false">
      <c r="A898" s="11"/>
      <c r="B898" s="11"/>
      <c r="C898" s="11"/>
      <c r="D898" s="11"/>
      <c r="E898" s="11"/>
    </row>
    <row r="899" customFormat="false" ht="15.75" hidden="false" customHeight="false" outlineLevel="0" collapsed="false">
      <c r="A899" s="11"/>
      <c r="B899" s="11"/>
      <c r="C899" s="11"/>
      <c r="D899" s="11"/>
      <c r="E899" s="11"/>
    </row>
    <row r="900" customFormat="false" ht="15.75" hidden="false" customHeight="false" outlineLevel="0" collapsed="false">
      <c r="A900" s="11"/>
      <c r="B900" s="11"/>
      <c r="C900" s="11"/>
      <c r="D900" s="11"/>
      <c r="E900" s="11"/>
    </row>
    <row r="901" customFormat="false" ht="15.75" hidden="false" customHeight="false" outlineLevel="0" collapsed="false">
      <c r="A901" s="11"/>
      <c r="B901" s="11"/>
      <c r="C901" s="11"/>
      <c r="D901" s="11"/>
      <c r="E901" s="11"/>
    </row>
    <row r="902" customFormat="false" ht="15.75" hidden="false" customHeight="false" outlineLevel="0" collapsed="false">
      <c r="A902" s="11"/>
      <c r="B902" s="11"/>
      <c r="C902" s="11"/>
      <c r="D902" s="11"/>
      <c r="E902" s="11"/>
    </row>
    <row r="903" customFormat="false" ht="15.75" hidden="false" customHeight="false" outlineLevel="0" collapsed="false">
      <c r="A903" s="11"/>
      <c r="B903" s="11"/>
      <c r="C903" s="11"/>
      <c r="D903" s="11"/>
      <c r="E903" s="11"/>
    </row>
    <row r="904" customFormat="false" ht="15.75" hidden="false" customHeight="false" outlineLevel="0" collapsed="false">
      <c r="A904" s="11"/>
      <c r="B904" s="11"/>
      <c r="C904" s="11"/>
      <c r="D904" s="11"/>
      <c r="E904" s="11"/>
    </row>
    <row r="905" customFormat="false" ht="15.75" hidden="false" customHeight="false" outlineLevel="0" collapsed="false">
      <c r="A905" s="11"/>
      <c r="B905" s="11"/>
      <c r="C905" s="11"/>
      <c r="D905" s="11"/>
      <c r="E905" s="11"/>
    </row>
    <row r="906" customFormat="false" ht="15.75" hidden="false" customHeight="false" outlineLevel="0" collapsed="false">
      <c r="A906" s="11"/>
      <c r="B906" s="11"/>
      <c r="C906" s="11"/>
      <c r="D906" s="11"/>
      <c r="E906" s="11"/>
    </row>
    <row r="907" customFormat="false" ht="15.75" hidden="false" customHeight="false" outlineLevel="0" collapsed="false">
      <c r="A907" s="11"/>
      <c r="B907" s="11"/>
      <c r="C907" s="11"/>
      <c r="D907" s="11"/>
      <c r="E907" s="11"/>
    </row>
    <row r="908" customFormat="false" ht="15.75" hidden="false" customHeight="false" outlineLevel="0" collapsed="false">
      <c r="A908" s="11"/>
      <c r="B908" s="11"/>
      <c r="C908" s="11"/>
      <c r="D908" s="11"/>
      <c r="E908" s="11"/>
    </row>
    <row r="909" customFormat="false" ht="15.75" hidden="false" customHeight="false" outlineLevel="0" collapsed="false">
      <c r="A909" s="11"/>
      <c r="B909" s="11"/>
      <c r="C909" s="11"/>
      <c r="D909" s="11"/>
      <c r="E909" s="11"/>
    </row>
    <row r="910" customFormat="false" ht="15.75" hidden="false" customHeight="false" outlineLevel="0" collapsed="false">
      <c r="A910" s="11"/>
      <c r="B910" s="11"/>
      <c r="C910" s="11"/>
      <c r="D910" s="11"/>
      <c r="E910" s="11"/>
    </row>
    <row r="911" customFormat="false" ht="15.75" hidden="false" customHeight="false" outlineLevel="0" collapsed="false">
      <c r="A911" s="11"/>
      <c r="B911" s="11"/>
      <c r="C911" s="11"/>
      <c r="D911" s="11"/>
      <c r="E911" s="11"/>
    </row>
    <row r="912" customFormat="false" ht="15.75" hidden="false" customHeight="false" outlineLevel="0" collapsed="false">
      <c r="A912" s="11"/>
      <c r="B912" s="11"/>
      <c r="C912" s="11"/>
      <c r="D912" s="11"/>
      <c r="E912" s="11"/>
    </row>
    <row r="913" customFormat="false" ht="15.75" hidden="false" customHeight="false" outlineLevel="0" collapsed="false">
      <c r="A913" s="11"/>
      <c r="B913" s="11"/>
      <c r="C913" s="11"/>
      <c r="D913" s="11"/>
      <c r="E913" s="11"/>
    </row>
    <row r="914" customFormat="false" ht="15.75" hidden="false" customHeight="false" outlineLevel="0" collapsed="false">
      <c r="A914" s="11"/>
      <c r="B914" s="11"/>
      <c r="C914" s="11"/>
      <c r="D914" s="11"/>
      <c r="E914" s="11"/>
    </row>
    <row r="915" customFormat="false" ht="15.75" hidden="false" customHeight="false" outlineLevel="0" collapsed="false">
      <c r="A915" s="11"/>
      <c r="B915" s="11"/>
      <c r="C915" s="11"/>
      <c r="D915" s="11"/>
      <c r="E915" s="11"/>
    </row>
    <row r="916" customFormat="false" ht="15.75" hidden="false" customHeight="false" outlineLevel="0" collapsed="false">
      <c r="A916" s="11"/>
      <c r="B916" s="11"/>
      <c r="C916" s="11"/>
      <c r="D916" s="11"/>
      <c r="E916" s="11"/>
    </row>
    <row r="917" customFormat="false" ht="15.75" hidden="false" customHeight="false" outlineLevel="0" collapsed="false">
      <c r="A917" s="11"/>
      <c r="B917" s="11"/>
      <c r="C917" s="11"/>
      <c r="D917" s="11"/>
      <c r="E917" s="11"/>
    </row>
    <row r="918" customFormat="false" ht="15.75" hidden="false" customHeight="false" outlineLevel="0" collapsed="false">
      <c r="A918" s="11"/>
      <c r="B918" s="11"/>
      <c r="C918" s="11"/>
      <c r="D918" s="11"/>
      <c r="E918" s="11"/>
    </row>
    <row r="919" customFormat="false" ht="15.75" hidden="false" customHeight="false" outlineLevel="0" collapsed="false">
      <c r="A919" s="11"/>
      <c r="B919" s="11"/>
      <c r="C919" s="11"/>
      <c r="D919" s="11"/>
      <c r="E919" s="11"/>
    </row>
    <row r="920" customFormat="false" ht="15.75" hidden="false" customHeight="false" outlineLevel="0" collapsed="false">
      <c r="A920" s="11"/>
      <c r="B920" s="11"/>
      <c r="C920" s="11"/>
      <c r="D920" s="11"/>
      <c r="E920" s="11"/>
    </row>
    <row r="921" customFormat="false" ht="15.75" hidden="false" customHeight="false" outlineLevel="0" collapsed="false">
      <c r="A921" s="11"/>
      <c r="B921" s="11"/>
      <c r="C921" s="11"/>
      <c r="D921" s="11"/>
      <c r="E921" s="11"/>
    </row>
    <row r="922" customFormat="false" ht="15.75" hidden="false" customHeight="false" outlineLevel="0" collapsed="false">
      <c r="A922" s="11"/>
      <c r="B922" s="11"/>
      <c r="C922" s="11"/>
      <c r="D922" s="11"/>
      <c r="E922" s="11"/>
    </row>
    <row r="923" customFormat="false" ht="15.75" hidden="false" customHeight="false" outlineLevel="0" collapsed="false">
      <c r="A923" s="11"/>
      <c r="B923" s="11"/>
      <c r="C923" s="11"/>
      <c r="D923" s="11"/>
      <c r="E923" s="11"/>
    </row>
    <row r="924" customFormat="false" ht="15.75" hidden="false" customHeight="false" outlineLevel="0" collapsed="false">
      <c r="A924" s="11"/>
      <c r="B924" s="11"/>
      <c r="C924" s="11"/>
      <c r="D924" s="11"/>
      <c r="E924" s="11"/>
    </row>
    <row r="925" customFormat="false" ht="15.75" hidden="false" customHeight="false" outlineLevel="0" collapsed="false">
      <c r="A925" s="11"/>
      <c r="B925" s="11"/>
      <c r="C925" s="11"/>
      <c r="D925" s="11"/>
      <c r="E925" s="11"/>
    </row>
    <row r="926" customFormat="false" ht="15.75" hidden="false" customHeight="false" outlineLevel="0" collapsed="false">
      <c r="A926" s="11"/>
      <c r="B926" s="11"/>
      <c r="C926" s="11"/>
      <c r="D926" s="11"/>
      <c r="E926" s="11"/>
    </row>
    <row r="927" customFormat="false" ht="15.75" hidden="false" customHeight="false" outlineLevel="0" collapsed="false">
      <c r="A927" s="11"/>
      <c r="B927" s="11"/>
      <c r="C927" s="11"/>
      <c r="D927" s="11"/>
      <c r="E927" s="11"/>
    </row>
    <row r="928" customFormat="false" ht="15.75" hidden="false" customHeight="false" outlineLevel="0" collapsed="false">
      <c r="A928" s="11"/>
      <c r="B928" s="11"/>
      <c r="C928" s="11"/>
      <c r="D928" s="11"/>
      <c r="E928" s="11"/>
    </row>
    <row r="929" customFormat="false" ht="15.75" hidden="false" customHeight="false" outlineLevel="0" collapsed="false">
      <c r="A929" s="11"/>
      <c r="B929" s="11"/>
      <c r="C929" s="11"/>
      <c r="D929" s="11"/>
      <c r="E929" s="11"/>
    </row>
    <row r="930" customFormat="false" ht="15.75" hidden="false" customHeight="false" outlineLevel="0" collapsed="false">
      <c r="A930" s="11"/>
      <c r="B930" s="11"/>
      <c r="C930" s="11"/>
      <c r="D930" s="11"/>
      <c r="E930" s="11"/>
    </row>
    <row r="931" customFormat="false" ht="15.75" hidden="false" customHeight="false" outlineLevel="0" collapsed="false">
      <c r="A931" s="11"/>
      <c r="B931" s="11"/>
      <c r="C931" s="11"/>
      <c r="D931" s="11"/>
      <c r="E931" s="11"/>
    </row>
    <row r="932" customFormat="false" ht="15.75" hidden="false" customHeight="false" outlineLevel="0" collapsed="false">
      <c r="A932" s="11"/>
      <c r="B932" s="11"/>
      <c r="C932" s="11"/>
      <c r="D932" s="11"/>
      <c r="E932" s="11"/>
    </row>
    <row r="933" customFormat="false" ht="15.75" hidden="false" customHeight="false" outlineLevel="0" collapsed="false">
      <c r="A933" s="11"/>
      <c r="B933" s="11"/>
      <c r="C933" s="11"/>
      <c r="D933" s="11"/>
      <c r="E933" s="11"/>
    </row>
    <row r="934" customFormat="false" ht="15.75" hidden="false" customHeight="false" outlineLevel="0" collapsed="false">
      <c r="A934" s="11"/>
      <c r="B934" s="11"/>
      <c r="C934" s="11"/>
      <c r="D934" s="11"/>
      <c r="E934" s="11"/>
    </row>
    <row r="935" customFormat="false" ht="15.75" hidden="false" customHeight="false" outlineLevel="0" collapsed="false">
      <c r="A935" s="11"/>
      <c r="B935" s="11"/>
      <c r="C935" s="11"/>
      <c r="D935" s="11"/>
      <c r="E935" s="11"/>
    </row>
    <row r="936" customFormat="false" ht="15.75" hidden="false" customHeight="false" outlineLevel="0" collapsed="false">
      <c r="A936" s="11"/>
      <c r="B936" s="11"/>
      <c r="C936" s="11"/>
      <c r="D936" s="11"/>
      <c r="E936" s="11"/>
    </row>
    <row r="937" customFormat="false" ht="15.75" hidden="false" customHeight="false" outlineLevel="0" collapsed="false">
      <c r="A937" s="11"/>
      <c r="B937" s="11"/>
      <c r="C937" s="11"/>
      <c r="D937" s="11"/>
      <c r="E937" s="11"/>
    </row>
    <row r="938" customFormat="false" ht="15.75" hidden="false" customHeight="false" outlineLevel="0" collapsed="false">
      <c r="A938" s="11"/>
      <c r="B938" s="11"/>
      <c r="C938" s="11"/>
      <c r="D938" s="11"/>
      <c r="E938" s="11"/>
    </row>
    <row r="939" customFormat="false" ht="15.75" hidden="false" customHeight="false" outlineLevel="0" collapsed="false">
      <c r="A939" s="11"/>
      <c r="B939" s="11"/>
      <c r="C939" s="11"/>
      <c r="D939" s="11"/>
      <c r="E939" s="11"/>
    </row>
    <row r="940" customFormat="false" ht="15.75" hidden="false" customHeight="false" outlineLevel="0" collapsed="false">
      <c r="A940" s="11"/>
      <c r="B940" s="11"/>
      <c r="C940" s="11"/>
      <c r="D940" s="11"/>
      <c r="E940" s="11"/>
    </row>
    <row r="941" customFormat="false" ht="15.75" hidden="false" customHeight="false" outlineLevel="0" collapsed="false">
      <c r="A941" s="11"/>
      <c r="B941" s="11"/>
      <c r="C941" s="11"/>
      <c r="D941" s="11"/>
      <c r="E941" s="11"/>
    </row>
    <row r="942" customFormat="false" ht="15.75" hidden="false" customHeight="false" outlineLevel="0" collapsed="false">
      <c r="A942" s="11"/>
      <c r="B942" s="11"/>
      <c r="C942" s="11"/>
      <c r="D942" s="11"/>
      <c r="E942" s="11"/>
    </row>
    <row r="943" customFormat="false" ht="15.75" hidden="false" customHeight="false" outlineLevel="0" collapsed="false">
      <c r="A943" s="11"/>
      <c r="B943" s="11"/>
      <c r="C943" s="11"/>
      <c r="D943" s="11"/>
      <c r="E943" s="11"/>
    </row>
    <row r="944" customFormat="false" ht="15.75" hidden="false" customHeight="false" outlineLevel="0" collapsed="false">
      <c r="A944" s="11"/>
      <c r="B944" s="11"/>
      <c r="C944" s="11"/>
      <c r="D944" s="11"/>
      <c r="E944" s="11"/>
    </row>
    <row r="945" customFormat="false" ht="15.75" hidden="false" customHeight="false" outlineLevel="0" collapsed="false">
      <c r="A945" s="11"/>
      <c r="B945" s="11"/>
      <c r="C945" s="11"/>
      <c r="D945" s="11"/>
      <c r="E945" s="11"/>
    </row>
    <row r="946" customFormat="false" ht="15.75" hidden="false" customHeight="false" outlineLevel="0" collapsed="false">
      <c r="A946" s="11"/>
      <c r="B946" s="11"/>
      <c r="C946" s="11"/>
      <c r="D946" s="11"/>
      <c r="E946" s="11"/>
    </row>
    <row r="947" customFormat="false" ht="15.75" hidden="false" customHeight="false" outlineLevel="0" collapsed="false">
      <c r="A947" s="11"/>
      <c r="B947" s="11"/>
      <c r="C947" s="11"/>
      <c r="D947" s="11"/>
      <c r="E947" s="11"/>
    </row>
    <row r="948" customFormat="false" ht="15.75" hidden="false" customHeight="false" outlineLevel="0" collapsed="false">
      <c r="A948" s="11"/>
      <c r="B948" s="11"/>
      <c r="C948" s="11"/>
      <c r="D948" s="11"/>
      <c r="E948" s="11"/>
    </row>
    <row r="949" customFormat="false" ht="15.75" hidden="false" customHeight="false" outlineLevel="0" collapsed="false">
      <c r="A949" s="11"/>
      <c r="B949" s="11"/>
      <c r="C949" s="11"/>
      <c r="D949" s="11"/>
      <c r="E949" s="11"/>
    </row>
    <row r="950" customFormat="false" ht="15.75" hidden="false" customHeight="false" outlineLevel="0" collapsed="false">
      <c r="A950" s="11"/>
      <c r="B950" s="11"/>
      <c r="C950" s="11"/>
      <c r="D950" s="11"/>
      <c r="E950" s="11"/>
    </row>
    <row r="951" customFormat="false" ht="15.75" hidden="false" customHeight="false" outlineLevel="0" collapsed="false">
      <c r="A951" s="11"/>
      <c r="B951" s="11"/>
      <c r="C951" s="11"/>
      <c r="D951" s="11"/>
      <c r="E951" s="11"/>
    </row>
    <row r="952" customFormat="false" ht="15.75" hidden="false" customHeight="false" outlineLevel="0" collapsed="false">
      <c r="A952" s="11"/>
      <c r="B952" s="11"/>
      <c r="C952" s="11"/>
      <c r="D952" s="11"/>
      <c r="E952" s="11"/>
    </row>
    <row r="953" customFormat="false" ht="15.75" hidden="false" customHeight="false" outlineLevel="0" collapsed="false">
      <c r="A953" s="11"/>
      <c r="B953" s="11"/>
      <c r="C953" s="11"/>
      <c r="D953" s="11"/>
      <c r="E953" s="11"/>
    </row>
    <row r="954" customFormat="false" ht="15.75" hidden="false" customHeight="false" outlineLevel="0" collapsed="false">
      <c r="A954" s="11"/>
      <c r="B954" s="11"/>
      <c r="C954" s="11"/>
      <c r="D954" s="11"/>
      <c r="E954" s="11"/>
    </row>
    <row r="955" customFormat="false" ht="15.75" hidden="false" customHeight="false" outlineLevel="0" collapsed="false">
      <c r="A955" s="11"/>
      <c r="B955" s="11"/>
      <c r="C955" s="11"/>
      <c r="D955" s="11"/>
      <c r="E955" s="11"/>
    </row>
    <row r="956" customFormat="false" ht="15.75" hidden="false" customHeight="false" outlineLevel="0" collapsed="false">
      <c r="A956" s="11"/>
      <c r="B956" s="11"/>
      <c r="C956" s="11"/>
      <c r="D956" s="11"/>
      <c r="E956" s="11"/>
    </row>
    <row r="957" customFormat="false" ht="15.75" hidden="false" customHeight="false" outlineLevel="0" collapsed="false">
      <c r="A957" s="11"/>
      <c r="B957" s="11"/>
      <c r="C957" s="11"/>
      <c r="D957" s="11"/>
      <c r="E957" s="11"/>
    </row>
    <row r="958" customFormat="false" ht="15.75" hidden="false" customHeight="false" outlineLevel="0" collapsed="false">
      <c r="A958" s="11"/>
      <c r="B958" s="11"/>
      <c r="C958" s="11"/>
      <c r="D958" s="11"/>
      <c r="E958" s="11"/>
    </row>
    <row r="959" customFormat="false" ht="15.75" hidden="false" customHeight="false" outlineLevel="0" collapsed="false">
      <c r="A959" s="11"/>
      <c r="B959" s="11"/>
      <c r="C959" s="11"/>
      <c r="D959" s="11"/>
      <c r="E959" s="11"/>
    </row>
    <row r="960" customFormat="false" ht="15.75" hidden="false" customHeight="false" outlineLevel="0" collapsed="false">
      <c r="A960" s="11"/>
      <c r="B960" s="11"/>
      <c r="C960" s="11"/>
      <c r="D960" s="11"/>
      <c r="E960" s="11"/>
    </row>
    <row r="961" customFormat="false" ht="15.75" hidden="false" customHeight="false" outlineLevel="0" collapsed="false">
      <c r="A961" s="11"/>
      <c r="B961" s="11"/>
      <c r="C961" s="11"/>
      <c r="D961" s="11"/>
      <c r="E961" s="11"/>
    </row>
    <row r="962" customFormat="false" ht="15.75" hidden="false" customHeight="false" outlineLevel="0" collapsed="false">
      <c r="A962" s="11"/>
      <c r="B962" s="11"/>
      <c r="C962" s="11"/>
      <c r="D962" s="11"/>
      <c r="E962" s="11"/>
    </row>
    <row r="963" customFormat="false" ht="15.75" hidden="false" customHeight="false" outlineLevel="0" collapsed="false">
      <c r="A963" s="11"/>
      <c r="B963" s="11"/>
      <c r="C963" s="11"/>
      <c r="D963" s="11"/>
      <c r="E963" s="11"/>
    </row>
    <row r="964" customFormat="false" ht="15.75" hidden="false" customHeight="false" outlineLevel="0" collapsed="false">
      <c r="A964" s="11"/>
      <c r="B964" s="11"/>
      <c r="C964" s="11"/>
      <c r="D964" s="11"/>
      <c r="E964" s="11"/>
    </row>
    <row r="965" customFormat="false" ht="15.75" hidden="false" customHeight="false" outlineLevel="0" collapsed="false">
      <c r="A965" s="11"/>
      <c r="B965" s="11"/>
      <c r="C965" s="11"/>
      <c r="D965" s="11"/>
      <c r="E965" s="11"/>
    </row>
    <row r="966" customFormat="false" ht="15.75" hidden="false" customHeight="false" outlineLevel="0" collapsed="false">
      <c r="A966" s="11"/>
      <c r="B966" s="11"/>
      <c r="C966" s="11"/>
      <c r="D966" s="11"/>
      <c r="E966" s="11"/>
    </row>
    <row r="967" customFormat="false" ht="15.75" hidden="false" customHeight="false" outlineLevel="0" collapsed="false">
      <c r="A967" s="11"/>
      <c r="B967" s="11"/>
      <c r="C967" s="11"/>
      <c r="D967" s="11"/>
      <c r="E967" s="11"/>
    </row>
    <row r="968" customFormat="false" ht="15.75" hidden="false" customHeight="false" outlineLevel="0" collapsed="false">
      <c r="A968" s="11"/>
      <c r="B968" s="11"/>
      <c r="C968" s="11"/>
      <c r="D968" s="11"/>
      <c r="E968" s="11"/>
    </row>
    <row r="969" customFormat="false" ht="15.75" hidden="false" customHeight="false" outlineLevel="0" collapsed="false">
      <c r="A969" s="11"/>
      <c r="B969" s="11"/>
      <c r="C969" s="11"/>
      <c r="D969" s="11"/>
      <c r="E969" s="11"/>
    </row>
    <row r="970" customFormat="false" ht="15.75" hidden="false" customHeight="false" outlineLevel="0" collapsed="false">
      <c r="A970" s="11"/>
      <c r="B970" s="11"/>
      <c r="C970" s="11"/>
      <c r="D970" s="11"/>
      <c r="E970" s="11"/>
    </row>
    <row r="971" customFormat="false" ht="15.75" hidden="false" customHeight="false" outlineLevel="0" collapsed="false">
      <c r="A971" s="11"/>
      <c r="B971" s="11"/>
      <c r="C971" s="11"/>
      <c r="D971" s="11"/>
      <c r="E971" s="11"/>
    </row>
    <row r="972" customFormat="false" ht="15.75" hidden="false" customHeight="false" outlineLevel="0" collapsed="false">
      <c r="A972" s="11"/>
      <c r="B972" s="11"/>
      <c r="C972" s="11"/>
      <c r="D972" s="11"/>
      <c r="E972" s="11"/>
    </row>
    <row r="973" customFormat="false" ht="15.75" hidden="false" customHeight="false" outlineLevel="0" collapsed="false">
      <c r="A973" s="11"/>
      <c r="B973" s="11"/>
      <c r="C973" s="11"/>
      <c r="D973" s="11"/>
      <c r="E973" s="11"/>
    </row>
    <row r="974" customFormat="false" ht="15.75" hidden="false" customHeight="false" outlineLevel="0" collapsed="false">
      <c r="A974" s="11"/>
      <c r="B974" s="11"/>
      <c r="C974" s="11"/>
      <c r="D974" s="11"/>
      <c r="E974" s="11"/>
    </row>
    <row r="975" customFormat="false" ht="15.75" hidden="false" customHeight="false" outlineLevel="0" collapsed="false">
      <c r="A975" s="11"/>
      <c r="B975" s="11"/>
      <c r="C975" s="11"/>
      <c r="D975" s="11"/>
      <c r="E975" s="11"/>
    </row>
    <row r="976" customFormat="false" ht="15.75" hidden="false" customHeight="false" outlineLevel="0" collapsed="false">
      <c r="A976" s="11"/>
      <c r="B976" s="11"/>
      <c r="C976" s="11"/>
      <c r="D976" s="11"/>
      <c r="E976" s="11"/>
    </row>
    <row r="977" customFormat="false" ht="15.75" hidden="false" customHeight="false" outlineLevel="0" collapsed="false">
      <c r="A977" s="11"/>
      <c r="B977" s="11"/>
      <c r="C977" s="11"/>
      <c r="D977" s="11"/>
      <c r="E977" s="11"/>
    </row>
    <row r="978" customFormat="false" ht="15.75" hidden="false" customHeight="false" outlineLevel="0" collapsed="false">
      <c r="A978" s="11"/>
      <c r="B978" s="11"/>
      <c r="C978" s="11"/>
      <c r="D978" s="11"/>
      <c r="E978" s="11"/>
    </row>
    <row r="979" customFormat="false" ht="15.75" hidden="false" customHeight="false" outlineLevel="0" collapsed="false">
      <c r="A979" s="11"/>
      <c r="B979" s="11"/>
      <c r="C979" s="11"/>
      <c r="D979" s="11"/>
      <c r="E979" s="11"/>
    </row>
    <row r="980" customFormat="false" ht="15.75" hidden="false" customHeight="false" outlineLevel="0" collapsed="false">
      <c r="A980" s="11"/>
      <c r="B980" s="11"/>
      <c r="C980" s="11"/>
      <c r="D980" s="11"/>
      <c r="E980" s="11"/>
    </row>
    <row r="981" customFormat="false" ht="15.75" hidden="false" customHeight="false" outlineLevel="0" collapsed="false">
      <c r="A981" s="11"/>
      <c r="B981" s="11"/>
      <c r="C981" s="11"/>
      <c r="D981" s="11"/>
      <c r="E981" s="11"/>
    </row>
    <row r="982" customFormat="false" ht="15.75" hidden="false" customHeight="false" outlineLevel="0" collapsed="false">
      <c r="A982" s="11"/>
      <c r="B982" s="11"/>
      <c r="C982" s="11"/>
      <c r="D982" s="11"/>
      <c r="E982" s="11"/>
    </row>
    <row r="983" customFormat="false" ht="15.75" hidden="false" customHeight="false" outlineLevel="0" collapsed="false">
      <c r="A983" s="11"/>
      <c r="B983" s="11"/>
      <c r="C983" s="11"/>
      <c r="D983" s="11"/>
      <c r="E983" s="11"/>
    </row>
    <row r="984" customFormat="false" ht="15.75" hidden="false" customHeight="false" outlineLevel="0" collapsed="false">
      <c r="A984" s="11"/>
      <c r="B984" s="11"/>
      <c r="C984" s="11"/>
      <c r="D984" s="11"/>
      <c r="E984" s="11"/>
    </row>
    <row r="985" customFormat="false" ht="15.75" hidden="false" customHeight="false" outlineLevel="0" collapsed="false">
      <c r="A985" s="11"/>
      <c r="B985" s="11"/>
      <c r="C985" s="11"/>
      <c r="D985" s="11"/>
      <c r="E985" s="11"/>
    </row>
    <row r="986" customFormat="false" ht="15.75" hidden="false" customHeight="false" outlineLevel="0" collapsed="false">
      <c r="A986" s="11"/>
      <c r="B986" s="11"/>
      <c r="C986" s="11"/>
      <c r="D986" s="11"/>
      <c r="E986" s="11"/>
    </row>
    <row r="987" customFormat="false" ht="15.75" hidden="false" customHeight="false" outlineLevel="0" collapsed="false">
      <c r="A987" s="11"/>
      <c r="B987" s="11"/>
      <c r="C987" s="11"/>
      <c r="D987" s="11"/>
      <c r="E987" s="11"/>
    </row>
    <row r="988" customFormat="false" ht="15.75" hidden="false" customHeight="false" outlineLevel="0" collapsed="false">
      <c r="A988" s="11"/>
      <c r="B988" s="11"/>
      <c r="C988" s="11"/>
      <c r="D988" s="11"/>
      <c r="E988" s="11"/>
    </row>
    <row r="989" customFormat="false" ht="15.75" hidden="false" customHeight="false" outlineLevel="0" collapsed="false">
      <c r="A989" s="11"/>
      <c r="B989" s="11"/>
      <c r="C989" s="11"/>
      <c r="D989" s="11"/>
      <c r="E989" s="11"/>
    </row>
    <row r="990" customFormat="false" ht="15.75" hidden="false" customHeight="false" outlineLevel="0" collapsed="false">
      <c r="A990" s="11"/>
      <c r="B990" s="11"/>
      <c r="C990" s="11"/>
      <c r="D990" s="11"/>
      <c r="E990" s="11"/>
    </row>
    <row r="991" customFormat="false" ht="15.75" hidden="false" customHeight="false" outlineLevel="0" collapsed="false">
      <c r="A991" s="11"/>
      <c r="B991" s="11"/>
      <c r="C991" s="11"/>
      <c r="D991" s="11"/>
      <c r="E991" s="11"/>
    </row>
    <row r="992" customFormat="false" ht="15.75" hidden="false" customHeight="false" outlineLevel="0" collapsed="false">
      <c r="A992" s="11"/>
      <c r="B992" s="11"/>
      <c r="C992" s="11"/>
      <c r="D992" s="11"/>
      <c r="E992" s="11"/>
    </row>
    <row r="993" customFormat="false" ht="15.75" hidden="false" customHeight="false" outlineLevel="0" collapsed="false">
      <c r="A993" s="11"/>
      <c r="B993" s="11"/>
      <c r="C993" s="11"/>
      <c r="D993" s="11"/>
      <c r="E993" s="11"/>
    </row>
    <row r="994" customFormat="false" ht="15.75" hidden="false" customHeight="false" outlineLevel="0" collapsed="false">
      <c r="A994" s="11"/>
      <c r="B994" s="11"/>
      <c r="C994" s="11"/>
      <c r="D994" s="11"/>
      <c r="E994" s="11"/>
    </row>
    <row r="995" customFormat="false" ht="15.75" hidden="false" customHeight="false" outlineLevel="0" collapsed="false">
      <c r="A995" s="11"/>
      <c r="B995" s="11"/>
      <c r="C995" s="11"/>
      <c r="D995" s="11"/>
      <c r="E995" s="11"/>
    </row>
    <row r="996" customFormat="false" ht="15.75" hidden="false" customHeight="false" outlineLevel="0" collapsed="false">
      <c r="A996" s="11"/>
      <c r="B996" s="11"/>
      <c r="C996" s="11"/>
      <c r="D996" s="11"/>
      <c r="E996" s="11"/>
    </row>
    <row r="997" customFormat="false" ht="15.75" hidden="false" customHeight="false" outlineLevel="0" collapsed="false">
      <c r="A997" s="11"/>
      <c r="B997" s="11"/>
      <c r="C997" s="11"/>
      <c r="D997" s="11"/>
      <c r="E997" s="11"/>
    </row>
    <row r="998" customFormat="false" ht="15.75" hidden="false" customHeight="false" outlineLevel="0" collapsed="false">
      <c r="A998" s="11"/>
      <c r="B998" s="11"/>
      <c r="C998" s="11"/>
      <c r="D998" s="11"/>
      <c r="E998" s="11"/>
    </row>
    <row r="999" customFormat="false" ht="15.75" hidden="false" customHeight="false" outlineLevel="0" collapsed="false">
      <c r="A999" s="11"/>
      <c r="B999" s="11"/>
      <c r="C999" s="11"/>
      <c r="D999" s="11"/>
      <c r="E999" s="11"/>
    </row>
    <row r="1000" customFormat="false" ht="15.75" hidden="false" customHeight="false" outlineLevel="0" collapsed="false">
      <c r="A1000" s="11"/>
      <c r="B1000" s="11"/>
      <c r="C1000" s="11"/>
      <c r="D1000" s="11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F4" activeCellId="0" sqref="F4"/>
    </sheetView>
  </sheetViews>
  <sheetFormatPr defaultColWidth="12.640625" defaultRowHeight="15.75" zeroHeight="false" outlineLevelRow="0" outlineLevelCol="0"/>
  <cols>
    <col collapsed="false" customWidth="true" hidden="false" outlineLevel="0" max="5" min="1" style="1" width="30.0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23.85" hidden="false" customHeight="false" outlineLevel="0" collapsed="false">
      <c r="A2" s="5" t="n">
        <f aca="false">IFERROR(__xludf.dummyfunction("IMPORTXML(getIdItems(""https://www.lustrof.ru/category/ofis/kanctovary/kantselyarskie-melochi/?page="",1),""//span[@class='products__item-info-code-v']"")"),226369)</f>
        <v>226369</v>
      </c>
      <c r="B2" s="7" t="str">
        <f aca="false">IFERROR(__xludf.dummyfunction("IMPORTXML(getIdItems(""https://www.lustrof.ru/category/ofis/kanctovary/kantselyarskie-melochi/?page="",1),""//span[@class='products__item-info-name']"")"),"Булавки английские BLITZ (224536)")</f>
        <v>Булавки английские BLITZ (224536)</v>
      </c>
      <c r="C2" s="5" t="str">
        <f aca="false">IFERROR(__xludf.dummyfunction("IMPORTXML(getIdItems(""https://www.lustrof.ru/category/ofis/kanctovary/kantselyarskie-melochi/?page="",1),""//span[@class='products__available-in-stock']"")"),"В наличии 7")</f>
        <v>В наличии 7</v>
      </c>
      <c r="D2" s="5" t="n">
        <f aca="false">IFERROR(__xludf.dummyfunction("IMPORTXML(getIdItems(""https://www.lustrof.ru/category/ofis/kanctovary/kantselyarskie-melochi/?page="",1),""//span[@class='products__price-new']/text()"")"),241)</f>
        <v>241</v>
      </c>
      <c r="E2" s="7" t="str">
        <f aca="false">IFERROR(__xludf.dummyfunction("IMPORTXML(getIdItems(""https://www.lustrof.ru/category/ofis/kanctovary/kantselyarskie-melochi/?page="",1),""//div[@class='products__item']/a/@href"")"),"/bulavki-anglijskie-blitz-224536-/")</f>
        <v>/bulavki-anglijskie-blitz-224536-/</v>
      </c>
    </row>
    <row r="3" customFormat="false" ht="23.85" hidden="false" customHeight="false" outlineLevel="0" collapsed="false">
      <c r="A3" s="5" t="n">
        <f aca="false">IFERROR(__xludf.dummyfunction("""COMPUTED_VALUE"""),206235)</f>
        <v>206235</v>
      </c>
      <c r="B3" s="7" t="str">
        <f aca="false">IFERROR(__xludf.dummyfunction("""COMPUTED_VALUE"""),"Зажимы для бумаг BRAUBERG (221128)")</f>
        <v>Зажимы для бумаг BRAUBERG (221128)</v>
      </c>
      <c r="C3" s="5" t="str">
        <f aca="false">IFERROR(__xludf.dummyfunction("""COMPUTED_VALUE"""),"В наличии 109")</f>
        <v>В наличии 109</v>
      </c>
      <c r="D3" s="5" t="n">
        <f aca="false">IFERROR(__xludf.dummyfunction("""COMPUTED_VALUE"""),567)</f>
        <v>567</v>
      </c>
      <c r="E3" s="7" t="str">
        <f aca="false">IFERROR(__xludf.dummyfunction("""COMPUTED_VALUE"""),"/zazhimy-dlya-bumag-brauberg-221128-/")</f>
        <v>/zazhimy-dlya-bumag-brauberg-221128-/</v>
      </c>
    </row>
    <row r="4" customFormat="false" ht="23.85" hidden="false" customHeight="false" outlineLevel="0" collapsed="false">
      <c r="A4" s="5" t="n">
        <f aca="false">IFERROR(__xludf.dummyfunction("""COMPUTED_VALUE"""),206238)</f>
        <v>206238</v>
      </c>
      <c r="B4" s="7" t="str">
        <f aca="false">IFERROR(__xludf.dummyfunction("""COMPUTED_VALUE"""),"Зажимы для бумаг BRAUBERG (221131)")</f>
        <v>Зажимы для бумаг BRAUBERG (221131)</v>
      </c>
      <c r="C4" s="5" t="str">
        <f aca="false">IFERROR(__xludf.dummyfunction("""COMPUTED_VALUE"""),"В наличии 241")</f>
        <v>В наличии 241</v>
      </c>
      <c r="D4" s="5" t="n">
        <f aca="false">IFERROR(__xludf.dummyfunction("""COMPUTED_VALUE"""),546)</f>
        <v>546</v>
      </c>
      <c r="E4" s="7" t="str">
        <f aca="false">IFERROR(__xludf.dummyfunction("""COMPUTED_VALUE"""),"/zazhimy-dlya-bumag-brauberg-221131-/")</f>
        <v>/zazhimy-dlya-bumag-brauberg-221131-/</v>
      </c>
    </row>
    <row r="5" customFormat="false" ht="23.85" hidden="false" customHeight="false" outlineLevel="0" collapsed="false">
      <c r="A5" s="5" t="n">
        <f aca="false">IFERROR(__xludf.dummyfunction("""COMPUTED_VALUE"""),206316)</f>
        <v>206316</v>
      </c>
      <c r="B5" s="7" t="str">
        <f aca="false">IFERROR(__xludf.dummyfunction("""COMPUTED_VALUE"""),"Зажимы для бумаг BRAUBERG (221538)")</f>
        <v>Зажимы для бумаг BRAUBERG (221538)</v>
      </c>
      <c r="C5" s="5" t="str">
        <f aca="false">IFERROR(__xludf.dummyfunction("""COMPUTED_VALUE"""),"В наличии 14406")</f>
        <v>В наличии 14406</v>
      </c>
      <c r="D5" s="5" t="n">
        <f aca="false">IFERROR(__xludf.dummyfunction("""COMPUTED_VALUE"""),223)</f>
        <v>223</v>
      </c>
      <c r="E5" s="7" t="str">
        <f aca="false">IFERROR(__xludf.dummyfunction("""COMPUTED_VALUE"""),"/zazhimy-dlya-bumag-brauberg-221538-/")</f>
        <v>/zazhimy-dlya-bumag-brauberg-221538-/</v>
      </c>
    </row>
    <row r="6" customFormat="false" ht="23.85" hidden="false" customHeight="false" outlineLevel="0" collapsed="false">
      <c r="A6" s="5" t="n">
        <f aca="false">IFERROR(__xludf.dummyfunction("""COMPUTED_VALUE"""),207007)</f>
        <v>207007</v>
      </c>
      <c r="B6" s="7" t="str">
        <f aca="false">IFERROR(__xludf.dummyfunction("""COMPUTED_VALUE"""),"Зажимы для бумаг BRAUBERG (224472)")</f>
        <v>Зажимы для бумаг BRAUBERG (224472)</v>
      </c>
      <c r="C6" s="5" t="str">
        <f aca="false">IFERROR(__xludf.dummyfunction("""COMPUTED_VALUE"""),"В наличии 15458")</f>
        <v>В наличии 15458</v>
      </c>
      <c r="D6" s="5" t="n">
        <f aca="false">IFERROR(__xludf.dummyfunction("""COMPUTED_VALUE"""),169)</f>
        <v>169</v>
      </c>
      <c r="E6" s="7" t="str">
        <f aca="false">IFERROR(__xludf.dummyfunction("""COMPUTED_VALUE"""),"/zazhimy-dlya-bumag-brauberg-224472-/")</f>
        <v>/zazhimy-dlya-bumag-brauberg-224472-/</v>
      </c>
    </row>
    <row r="7" customFormat="false" ht="23.85" hidden="false" customHeight="false" outlineLevel="0" collapsed="false">
      <c r="A7" s="5" t="n">
        <f aca="false">IFERROR(__xludf.dummyfunction("""COMPUTED_VALUE"""),207008)</f>
        <v>207008</v>
      </c>
      <c r="B7" s="7" t="str">
        <f aca="false">IFERROR(__xludf.dummyfunction("""COMPUTED_VALUE"""),"Зажимы для бумаг BRAUBERG (224473)")</f>
        <v>Зажимы для бумаг BRAUBERG (224473)</v>
      </c>
      <c r="C7" s="5" t="str">
        <f aca="false">IFERROR(__xludf.dummyfunction("""COMPUTED_VALUE"""),"В наличии 4231")</f>
        <v>В наличии 4231</v>
      </c>
      <c r="D7" s="5" t="n">
        <f aca="false">IFERROR(__xludf.dummyfunction("""COMPUTED_VALUE"""),293)</f>
        <v>293</v>
      </c>
      <c r="E7" s="7" t="str">
        <f aca="false">IFERROR(__xludf.dummyfunction("""COMPUTED_VALUE"""),"/zazhimy-dlya-bumag-brauberg-224473-/")</f>
        <v>/zazhimy-dlya-bumag-brauberg-224473-/</v>
      </c>
    </row>
    <row r="8" customFormat="false" ht="23.85" hidden="false" customHeight="false" outlineLevel="0" collapsed="false">
      <c r="A8" s="5" t="n">
        <f aca="false">IFERROR(__xludf.dummyfunction("""COMPUTED_VALUE"""),207009)</f>
        <v>207009</v>
      </c>
      <c r="B8" s="7" t="str">
        <f aca="false">IFERROR(__xludf.dummyfunction("""COMPUTED_VALUE"""),"Зажимы для бумаг BRAUBERG (224474)")</f>
        <v>Зажимы для бумаг BRAUBERG (224474)</v>
      </c>
      <c r="C8" s="5" t="str">
        <f aca="false">IFERROR(__xludf.dummyfunction("""COMPUTED_VALUE"""),"В наличии 6777")</f>
        <v>В наличии 6777</v>
      </c>
      <c r="D8" s="5" t="n">
        <f aca="false">IFERROR(__xludf.dummyfunction("""COMPUTED_VALUE"""),379)</f>
        <v>379</v>
      </c>
      <c r="E8" s="7" t="str">
        <f aca="false">IFERROR(__xludf.dummyfunction("""COMPUTED_VALUE"""),"/zazhimy-dlya-bumag-brauberg-224474-/")</f>
        <v>/zazhimy-dlya-bumag-brauberg-224474-/</v>
      </c>
    </row>
    <row r="9" customFormat="false" ht="57.45" hidden="false" customHeight="false" outlineLevel="0" collapsed="false">
      <c r="A9" s="5" t="n">
        <f aca="false">IFERROR(__xludf.dummyfunction("""COMPUTED_VALUE"""),206236)</f>
        <v>206236</v>
      </c>
      <c r="B9" s="7" t="str">
        <f aca="false">IFERROR(__xludf.dummyfunction("""COMPUTED_VALUE"""),"Зажимы для бумаг BRAUBERG, КОМПЛЕКТ 24 шт., 32 мм, на 140 листов, цветные, 
в пластиковом цилиндре (221129)")</f>
        <v>Зажимы для бумаг BRAUBERG, КОМПЛЕКТ 24 шт., 32 мм, на 140 листов, цветные, 
в пластиковом цилиндре (221129)</v>
      </c>
      <c r="C9" s="5" t="str">
        <f aca="false">IFERROR(__xludf.dummyfunction("""COMPUTED_VALUE"""),"В наличии 562")</f>
        <v>В наличии 562</v>
      </c>
      <c r="D9" s="5" t="n">
        <f aca="false">IFERROR(__xludf.dummyfunction("""COMPUTED_VALUE"""),276)</f>
        <v>276</v>
      </c>
      <c r="E9" s="7" t="str">
        <f aca="false">IFERROR(__xludf.dummyfunction("""COMPUTED_VALUE"""),"/zazhimy-dlya-bumag-brauberg-komplekt-24-sht-32-mm-na-140-listov-cvetnye-v-plastikovom-cilindre-221129-/")</f>
        <v>/zazhimy-dlya-bumag-brauberg-komplekt-24-sht-32-mm-na-140-listov-cvetnye-v-plastikovom-cilindre-221129-/</v>
      </c>
    </row>
    <row r="10" customFormat="false" ht="57.45" hidden="false" customHeight="false" outlineLevel="0" collapsed="false">
      <c r="A10" s="5" t="n">
        <f aca="false">IFERROR(__xludf.dummyfunction("""COMPUTED_VALUE"""),206797)</f>
        <v>206797</v>
      </c>
      <c r="B10" s="7" t="str">
        <f aca="false">IFERROR(__xludf.dummyfunction("""COMPUTED_VALUE"""),"Зажимы для бумаг BRAUBERG, КОМПЛЕКТ 40 шт., 19 мм, на 60 листов, цвет 
металлик, пластиковый цилиндр (223504)")</f>
        <v>Зажимы для бумаг BRAUBERG, КОМПЛЕКТ 40 шт., 19 мм, на 60 листов, цвет 
металлик, пластиковый цилиндр (223504)</v>
      </c>
      <c r="C10" s="5" t="str">
        <f aca="false">IFERROR(__xludf.dummyfunction("""COMPUTED_VALUE"""),"В наличии 4146")</f>
        <v>В наличии 4146</v>
      </c>
      <c r="D10" s="5" t="n">
        <f aca="false">IFERROR(__xludf.dummyfunction("""COMPUTED_VALUE"""),321)</f>
        <v>321</v>
      </c>
      <c r="E10" s="7" t="str">
        <f aca="false">IFERROR(__xludf.dummyfunction("""COMPUTED_VALUE"""),"/zazhimy-dlya-bumag-brauberg-komplekt-40-sht-19-mm-na-60-listov-cvet-metallik-plastikovyj-cilindr-223504-/")</f>
        <v>/zazhimy-dlya-bumag-brauberg-komplekt-40-sht-19-mm-na-60-listov-cvet-metallik-plastikovyj-cilindr-223504-/</v>
      </c>
    </row>
    <row r="11" customFormat="false" ht="46.25" hidden="false" customHeight="false" outlineLevel="0" collapsed="false">
      <c r="A11" s="5" t="n">
        <f aca="false">IFERROR(__xludf.dummyfunction("""COMPUTED_VALUE"""),206234)</f>
        <v>206234</v>
      </c>
      <c r="B11" s="7" t="str">
        <f aca="false">IFERROR(__xludf.dummyfunction("""COMPUTED_VALUE"""),"Зажимы для бумаг BRAUBERG, КОМПЛЕКТ 40 шт., 19 мм, на 60 листов, цветные, в 
пластиковом цилиндре (221127)")</f>
        <v>Зажимы для бумаг BRAUBERG, КОМПЛЕКТ 40 шт., 19 мм, на 60 листов, цветные, в 
пластиковом цилиндре (221127)</v>
      </c>
      <c r="C11" s="5" t="str">
        <f aca="false">IFERROR(__xludf.dummyfunction("""COMPUTED_VALUE"""),"В наличии 1158")</f>
        <v>В наличии 1158</v>
      </c>
      <c r="D11" s="5" t="n">
        <f aca="false">IFERROR(__xludf.dummyfunction("""COMPUTED_VALUE"""),289)</f>
        <v>289</v>
      </c>
      <c r="E11" s="7" t="str">
        <f aca="false">IFERROR(__xludf.dummyfunction("""COMPUTED_VALUE"""),"/zazhimy-dlya-bumag-brauberg-komplekt-40-sht-19-mm-na-60-listov-cvetnye-v-plastikovom-cilindre-221127-/")</f>
        <v>/zazhimy-dlya-bumag-brauberg-komplekt-40-sht-19-mm-na-60-listov-cvetnye-v-plastikovom-cilindre-221127-/</v>
      </c>
    </row>
    <row r="12" customFormat="false" ht="23.85" hidden="false" customHeight="false" outlineLevel="0" collapsed="false">
      <c r="A12" s="5" t="n">
        <f aca="false">IFERROR(__xludf.dummyfunction("""COMPUTED_VALUE"""),206165)</f>
        <v>206165</v>
      </c>
      <c r="B12" s="7" t="str">
        <f aca="false">IFERROR(__xludf.dummyfunction("""COMPUTED_VALUE"""),"Зажимы для бумаг большие BRAUBERG (220561)")</f>
        <v>Зажимы для бумаг большие BRAUBERG (220561)</v>
      </c>
      <c r="C12" s="5" t="str">
        <f aca="false">IFERROR(__xludf.dummyfunction("""COMPUTED_VALUE"""),"В наличии 23762")</f>
        <v>В наличии 23762</v>
      </c>
      <c r="D12" s="5" t="n">
        <f aca="false">IFERROR(__xludf.dummyfunction("""COMPUTED_VALUE"""),294)</f>
        <v>294</v>
      </c>
      <c r="E12" s="7" t="str">
        <f aca="false">IFERROR(__xludf.dummyfunction("""COMPUTED_VALUE"""),"/zazhimy-dlya-bumag-bolshie-brauberg-220561-/")</f>
        <v>/zazhimy-dlya-bumag-bolshie-brauberg-220561-/</v>
      </c>
    </row>
    <row r="13" customFormat="false" ht="23.85" hidden="false" customHeight="false" outlineLevel="0" collapsed="false">
      <c r="A13" s="5" t="n">
        <f aca="false">IFERROR(__xludf.dummyfunction("""COMPUTED_VALUE"""),206496)</f>
        <v>206496</v>
      </c>
      <c r="B13" s="7" t="str">
        <f aca="false">IFERROR(__xludf.dummyfunction("""COMPUTED_VALUE"""),"Зажимы для бумаг ОФИСМАГ (222090)")</f>
        <v>Зажимы для бумаг ОФИСМАГ (222090)</v>
      </c>
      <c r="C13" s="5" t="str">
        <f aca="false">IFERROR(__xludf.dummyfunction("""COMPUTED_VALUE"""),"В наличии 6070")</f>
        <v>В наличии 6070</v>
      </c>
      <c r="D13" s="5" t="n">
        <f aca="false">IFERROR(__xludf.dummyfunction("""COMPUTED_VALUE"""),291)</f>
        <v>291</v>
      </c>
      <c r="E13" s="7" t="str">
        <f aca="false">IFERROR(__xludf.dummyfunction("""COMPUTED_VALUE"""),"/zazhimy-dlya-bumag-ofismag-222090-/")</f>
        <v>/zazhimy-dlya-bumag-ofismag-222090-/</v>
      </c>
    </row>
    <row r="14" customFormat="false" ht="23.85" hidden="false" customHeight="false" outlineLevel="0" collapsed="false">
      <c r="A14" s="5" t="n">
        <f aca="false">IFERROR(__xludf.dummyfunction("""COMPUTED_VALUE"""),207967)</f>
        <v>207967</v>
      </c>
      <c r="B14" s="7" t="str">
        <f aca="false">IFERROR(__xludf.dummyfunction("""COMPUTED_VALUE"""),"Зажимы для бумаг ОФИСМАГ (226765)")</f>
        <v>Зажимы для бумаг ОФИСМАГ (226765)</v>
      </c>
      <c r="C14" s="5" t="str">
        <f aca="false">IFERROR(__xludf.dummyfunction("""COMPUTED_VALUE"""),"В наличии 10803")</f>
        <v>В наличии 10803</v>
      </c>
      <c r="D14" s="5" t="n">
        <f aca="false">IFERROR(__xludf.dummyfunction("""COMPUTED_VALUE"""),168)</f>
        <v>168</v>
      </c>
      <c r="E14" s="7" t="str">
        <f aca="false">IFERROR(__xludf.dummyfunction("""COMPUTED_VALUE"""),"/zazhimy-dlya-bumag-ofismag-226765-/")</f>
        <v>/zazhimy-dlya-bumag-ofismag-226765-/</v>
      </c>
    </row>
    <row r="15" customFormat="false" ht="23.85" hidden="false" customHeight="false" outlineLevel="0" collapsed="false">
      <c r="A15" s="5" t="n">
        <f aca="false">IFERROR(__xludf.dummyfunction("""COMPUTED_VALUE"""),207968)</f>
        <v>207968</v>
      </c>
      <c r="B15" s="7" t="str">
        <f aca="false">IFERROR(__xludf.dummyfunction("""COMPUTED_VALUE"""),"Зажимы для бумаг ОФИСМАГ (226766)")</f>
        <v>Зажимы для бумаг ОФИСМАГ (226766)</v>
      </c>
      <c r="C15" s="5" t="str">
        <f aca="false">IFERROR(__xludf.dummyfunction("""COMPUTED_VALUE"""),"В наличии 3401")</f>
        <v>В наличии 3401</v>
      </c>
      <c r="D15" s="5" t="n">
        <f aca="false">IFERROR(__xludf.dummyfunction("""COMPUTED_VALUE"""),290)</f>
        <v>290</v>
      </c>
      <c r="E15" s="7" t="str">
        <f aca="false">IFERROR(__xludf.dummyfunction("""COMPUTED_VALUE"""),"/zazhimy-dlya-bumag-ofismag-226766-/")</f>
        <v>/zazhimy-dlya-bumag-ofismag-226766-/</v>
      </c>
    </row>
    <row r="16" customFormat="false" ht="23.85" hidden="false" customHeight="false" outlineLevel="0" collapsed="false">
      <c r="A16" s="5" t="n">
        <f aca="false">IFERROR(__xludf.dummyfunction("""COMPUTED_VALUE"""),207970)</f>
        <v>207970</v>
      </c>
      <c r="B16" s="7" t="str">
        <f aca="false">IFERROR(__xludf.dummyfunction("""COMPUTED_VALUE"""),"Зажимы для бумаг ОФИСМАГ (226768)")</f>
        <v>Зажимы для бумаг ОФИСМАГ (226768)</v>
      </c>
      <c r="C16" s="5" t="str">
        <f aca="false">IFERROR(__xludf.dummyfunction("""COMPUTED_VALUE"""),"В наличии 2965")</f>
        <v>В наличии 2965</v>
      </c>
      <c r="D16" s="5" t="n">
        <f aca="false">IFERROR(__xludf.dummyfunction("""COMPUTED_VALUE"""),375)</f>
        <v>375</v>
      </c>
      <c r="E16" s="7" t="str">
        <f aca="false">IFERROR(__xludf.dummyfunction("""COMPUTED_VALUE"""),"/zazhimy-dlya-bumag-ofismag-226768-/")</f>
        <v>/zazhimy-dlya-bumag-ofismag-226768-/</v>
      </c>
    </row>
    <row r="17" customFormat="false" ht="23.85" hidden="false" customHeight="false" outlineLevel="0" collapsed="false">
      <c r="A17" s="5" t="n">
        <f aca="false">IFERROR(__xludf.dummyfunction("""COMPUTED_VALUE"""),206469)</f>
        <v>206469</v>
      </c>
      <c r="B17" s="7" t="str">
        <f aca="false">IFERROR(__xludf.dummyfunction("""COMPUTED_VALUE"""),"Зажимы для бумаг ОФИСНАЯ ПЛАНЕТА (222002)")</f>
        <v>Зажимы для бумаг ОФИСНАЯ ПЛАНЕТА (222002)</v>
      </c>
      <c r="C17" s="5" t="str">
        <f aca="false">IFERROR(__xludf.dummyfunction("""COMPUTED_VALUE"""),"В наличии 2742")</f>
        <v>В наличии 2742</v>
      </c>
      <c r="D17" s="5" t="n">
        <f aca="false">IFERROR(__xludf.dummyfunction("""COMPUTED_VALUE"""),294)</f>
        <v>294</v>
      </c>
      <c r="E17" s="7" t="str">
        <f aca="false">IFERROR(__xludf.dummyfunction("""COMPUTED_VALUE"""),"/zazhimy-dlya-bumag-ofisnaya-planeta-222002-/")</f>
        <v>/zazhimy-dlya-bumag-ofisnaya-planeta-222002-/</v>
      </c>
    </row>
    <row r="18" customFormat="false" ht="23.85" hidden="false" customHeight="false" outlineLevel="0" collapsed="false">
      <c r="A18" s="5" t="n">
        <f aca="false">IFERROR(__xludf.dummyfunction("""COMPUTED_VALUE"""),206803)</f>
        <v>206803</v>
      </c>
      <c r="B18" s="7" t="str">
        <f aca="false">IFERROR(__xludf.dummyfunction("""COMPUTED_VALUE"""),"Зажимы-бульдоги для бумаг большие BRAUBERG (223514)")</f>
        <v>Зажимы-бульдоги для бумаг большие BRAUBERG (223514)</v>
      </c>
      <c r="C18" s="5" t="str">
        <f aca="false">IFERROR(__xludf.dummyfunction("""COMPUTED_VALUE"""),"В наличии 2970")</f>
        <v>В наличии 2970</v>
      </c>
      <c r="D18" s="5" t="n">
        <f aca="false">IFERROR(__xludf.dummyfunction("""COMPUTED_VALUE"""),485)</f>
        <v>485</v>
      </c>
      <c r="E18" s="7" t="str">
        <f aca="false">IFERROR(__xludf.dummyfunction("""COMPUTED_VALUE"""),"/zazhimy-buldogi-dlya-bumag-bolshie-brauberg-223514-/")</f>
        <v>/zazhimy-buldogi-dlya-bumag-bolshie-brauberg-223514-/</v>
      </c>
    </row>
    <row r="19" customFormat="false" ht="23.85" hidden="false" customHeight="false" outlineLevel="0" collapsed="false">
      <c r="A19" s="5" t="n">
        <f aca="false">IFERROR(__xludf.dummyfunction("""COMPUTED_VALUE"""),215775)</f>
        <v>215775</v>
      </c>
      <c r="B19" s="7" t="str">
        <f aca="false">IFERROR(__xludf.dummyfunction("""COMPUTED_VALUE"""),"Звонок настольный KW-trio для ресепшн (451680)")</f>
        <v>Звонок настольный KW-trio для ресепшн (451680)</v>
      </c>
      <c r="C19" s="5" t="str">
        <f aca="false">IFERROR(__xludf.dummyfunction("""COMPUTED_VALUE"""),"В наличии 89")</f>
        <v>В наличии 89</v>
      </c>
      <c r="D19" s="5" t="n">
        <f aca="false">IFERROR(__xludf.dummyfunction("""COMPUTED_VALUE"""),430)</f>
        <v>430</v>
      </c>
      <c r="E19" s="7" t="str">
        <f aca="false">IFERROR(__xludf.dummyfunction("""COMPUTED_VALUE"""),"/zvonok-nastolnyj-kw-trio-dlya-resepshn-451680-/")</f>
        <v>/zvonok-nastolnyj-kw-trio-dlya-resepshn-451680-/</v>
      </c>
    </row>
    <row r="20" customFormat="false" ht="23.85" hidden="false" customHeight="false" outlineLevel="0" collapsed="false">
      <c r="A20" s="5" t="n">
        <f aca="false">IFERROR(__xludf.dummyfunction("""COMPUTED_VALUE"""),216672)</f>
        <v>216672</v>
      </c>
      <c r="B20" s="7" t="str">
        <f aca="false">IFERROR(__xludf.dummyfunction("""COMPUTED_VALUE"""),"Звонок настольный для ресепшн (454410)")</f>
        <v>Звонок настольный для ресепшн (454410)</v>
      </c>
      <c r="C20" s="5" t="str">
        <f aca="false">IFERROR(__xludf.dummyfunction("""COMPUTED_VALUE"""),"В наличии 6656")</f>
        <v>В наличии 6656</v>
      </c>
      <c r="D20" s="5" t="n">
        <f aca="false">IFERROR(__xludf.dummyfunction("""COMPUTED_VALUE"""),311)</f>
        <v>311</v>
      </c>
      <c r="E20" s="7" t="str">
        <f aca="false">IFERROR(__xludf.dummyfunction("""COMPUTED_VALUE"""),"/zvonok-nastolnyj-dlya-resepshn-454410-/")</f>
        <v>/zvonok-nastolnyj-dlya-resepshn-454410-/</v>
      </c>
    </row>
    <row r="21" customFormat="false" ht="46.25" hidden="false" customHeight="false" outlineLevel="0" collapsed="false">
      <c r="A21" s="5" t="n">
        <f aca="false">IFERROR(__xludf.dummyfunction("""COMPUTED_VALUE"""),219220)</f>
        <v>219220</v>
      </c>
      <c r="B21" s="7" t="str">
        <f aca="false">IFERROR(__xludf.dummyfunction("""COMPUTED_VALUE"""),"Клей ПВА BRAUBERG, 1 кг, суперпрочный (керамика, ткань, кожа, дерево, 
бумага, картон) (600984)")</f>
        <v>Клей ПВА BRAUBERG, 1 кг, суперпрочный (керамика, ткань, кожа, дерево, 
бумага, картон) (600984)</v>
      </c>
      <c r="C21" s="5" t="str">
        <f aca="false">IFERROR(__xludf.dummyfunction("""COMPUTED_VALUE"""),"В наличии 140")</f>
        <v>В наличии 140</v>
      </c>
      <c r="D21" s="5" t="n">
        <f aca="false">IFERROR(__xludf.dummyfunction("""COMPUTED_VALUE"""),349)</f>
        <v>349</v>
      </c>
      <c r="E21" s="7" t="str">
        <f aca="false">IFERROR(__xludf.dummyfunction("""COMPUTED_VALUE"""),"/klej-pva-brauberg-1-kg-superprochnyj-keramika-tkan-kozha-derevo-bumaga-karton-600984-/")</f>
        <v>/klej-pva-brauberg-1-kg-superprochnyj-keramika-tkan-kozha-derevo-bumaga-karton-600984-/</v>
      </c>
    </row>
    <row r="22" customFormat="false" ht="35.05" hidden="false" customHeight="false" outlineLevel="0" collapsed="false">
      <c r="A22" s="5" t="n">
        <f aca="false">IFERROR(__xludf.dummyfunction("""COMPUTED_VALUE"""),252327)</f>
        <v>252327</v>
      </c>
      <c r="B22" s="7" t="str">
        <f aca="false">IFERROR(__xludf.dummyfunction("""COMPUTED_VALUE"""),"Клей ПВА универсальный 2,3 кг (бумага, картон, дерево), STAFF, 606433")</f>
        <v>Клей ПВА универсальный 2,3 кг (бумага, картон, дерево), STAFF, 606433</v>
      </c>
      <c r="C22" s="5" t="str">
        <f aca="false">IFERROR(__xludf.dummyfunction("""COMPUTED_VALUE"""),"В наличии 343")</f>
        <v>В наличии 343</v>
      </c>
      <c r="D22" s="5" t="n">
        <f aca="false">IFERROR(__xludf.dummyfunction("""COMPUTED_VALUE"""),343)</f>
        <v>343</v>
      </c>
      <c r="E22" s="7" t="str">
        <f aca="false">IFERROR(__xludf.dummyfunction("""COMPUTED_VALUE"""),"/klej-pva-universalnyj-2-3-kg-bumaga-karton-derevo-staff-606433/")</f>
        <v>/klej-pva-universalnyj-2-3-kg-bumaga-karton-derevo-staff-606433/</v>
      </c>
    </row>
    <row r="23" customFormat="false" ht="46.25" hidden="false" customHeight="false" outlineLevel="0" collapsed="false">
      <c r="A23" s="5" t="n">
        <f aca="false">IFERROR(__xludf.dummyfunction("""COMPUTED_VALUE"""),252644)</f>
        <v>252644</v>
      </c>
      <c r="B23" s="7" t="str">
        <f aca="false">IFERROR(__xludf.dummyfunction("""COMPUTED_VALUE"""),"Клей ПВА Экстра Суперпрочный 1 кг (керамика, ткань, кожа, дерево, бумага, 
картон), ЛАЙМА, 606432 ")</f>
        <v>Клей ПВА Экстра Суперпрочный 1 кг (керамика, ткань, кожа, дерево, бумага, 
картон), ЛАЙМА, 606432 </v>
      </c>
      <c r="C23" s="5" t="str">
        <f aca="false">IFERROR(__xludf.dummyfunction("""COMPUTED_VALUE"""),"В наличии 1483")</f>
        <v>В наличии 1483</v>
      </c>
      <c r="D23" s="5" t="n">
        <f aca="false">IFERROR(__xludf.dummyfunction("""COMPUTED_VALUE"""),360)</f>
        <v>360</v>
      </c>
      <c r="E23" s="7" t="str">
        <f aca="false">IFERROR(__xludf.dummyfunction("""COMPUTED_VALUE"""),"/klej-pva-kstra-superprochnyj-1-kg-keramika-tkan-kozha-derevo-bumaga-karton-lajma-606432-/")</f>
        <v>/klej-pva-kstra-superprochnyj-1-kg-keramika-tkan-kozha-derevo-bumaga-karton-lajma-606432-/</v>
      </c>
    </row>
    <row r="24" customFormat="false" ht="57.45" hidden="false" customHeight="false" outlineLevel="0" collapsed="false">
      <c r="A24" s="5" t="n">
        <f aca="false">IFERROR(__xludf.dummyfunction("""COMPUTED_VALUE"""),319615)</f>
        <v>319615</v>
      </c>
      <c r="B24" s="7" t="str">
        <f aca="false">IFERROR(__xludf.dummyfunction("""COMPUTED_VALUE"""),"Клей-карандаш 9 г ВЫГОДНАЯ УПАКОВКА КОМПЛЕКТ 30 штук, BRAUBERG, 270484 
(270484)")</f>
        <v>Клей-карандаш 9 г ВЫГОДНАЯ УПАКОВКА КОМПЛЕКТ 30 штук, BRAUBERG, 270484 
(270484)</v>
      </c>
      <c r="C24" s="5" t="str">
        <f aca="false">IFERROR(__xludf.dummyfunction("""COMPUTED_VALUE"""),"В наличии 9187")</f>
        <v>В наличии 9187</v>
      </c>
      <c r="D24" s="5" t="n">
        <f aca="false">IFERROR(__xludf.dummyfunction("""COMPUTED_VALUE"""),602)</f>
        <v>602</v>
      </c>
      <c r="E24" s="7" t="str">
        <f aca="false">IFERROR(__xludf.dummyfunction("""COMPUTED_VALUE"""),"/klej-karandash-9-g-vygodnaya-upakovka-komplekt-30-shtuk-brauberg-270484-270484-/")</f>
        <v>/klej-karandash-9-g-vygodnaya-upakovka-komplekt-30-shtuk-brauberg-270484-270484-/</v>
      </c>
    </row>
    <row r="25" customFormat="false" ht="23.85" hidden="false" customHeight="false" outlineLevel="0" collapsed="false">
      <c r="A25" s="5" t="n">
        <f aca="false">IFERROR(__xludf.dummyfunction("""COMPUTED_VALUE"""),207658)</f>
        <v>207658</v>
      </c>
      <c r="B25" s="7" t="str">
        <f aca="false">IFERROR(__xludf.dummyfunction("""COMPUTED_VALUE"""),"Клей-карандаш SCOTCH (225926)")</f>
        <v>Клей-карандаш SCOTCH (225926)</v>
      </c>
      <c r="C25" s="5" t="str">
        <f aca="false">IFERROR(__xludf.dummyfunction("""COMPUTED_VALUE"""),"В наличии 84")</f>
        <v>В наличии 84</v>
      </c>
      <c r="D25" s="5" t="n">
        <f aca="false">IFERROR(__xludf.dummyfunction("""COMPUTED_VALUE"""),50)</f>
        <v>50</v>
      </c>
      <c r="E25" s="7" t="str">
        <f aca="false">IFERROR(__xludf.dummyfunction("""COMPUTED_VALUE"""),"/klej-karandash-scotch-225926-/")</f>
        <v>/klej-karandash-scotch-225926-/</v>
      </c>
    </row>
    <row r="26" customFormat="false" ht="23.85" hidden="false" customHeight="false" outlineLevel="0" collapsed="false">
      <c r="A26" s="5" t="n">
        <f aca="false">IFERROR(__xludf.dummyfunction("""COMPUTED_VALUE"""),216477)</f>
        <v>216477</v>
      </c>
      <c r="B26" s="7" t="str">
        <f aca="false">IFERROR(__xludf.dummyfunction("""COMPUTED_VALUE"""),"Лупа просмотровая BRAUBERG (454128)")</f>
        <v>Лупа просмотровая BRAUBERG (454128)</v>
      </c>
      <c r="C26" s="5" t="str">
        <f aca="false">IFERROR(__xludf.dummyfunction("""COMPUTED_VALUE"""),"В наличии 892")</f>
        <v>В наличии 892</v>
      </c>
      <c r="D26" s="5" t="n">
        <f aca="false">IFERROR(__xludf.dummyfunction("""COMPUTED_VALUE"""),371)</f>
        <v>371</v>
      </c>
      <c r="E26" s="7" t="str">
        <f aca="false">IFERROR(__xludf.dummyfunction("""COMPUTED_VALUE"""),"/lupa-prosmotrovaya-brauberg-454128-/")</f>
        <v>/lupa-prosmotrovaya-brauberg-454128-/</v>
      </c>
    </row>
    <row r="27" customFormat="false" ht="23.85" hidden="false" customHeight="false" outlineLevel="0" collapsed="false">
      <c r="A27" s="5" t="n">
        <f aca="false">IFERROR(__xludf.dummyfunction("""COMPUTED_VALUE"""),215639)</f>
        <v>215639</v>
      </c>
      <c r="B27" s="7" t="str">
        <f aca="false">IFERROR(__xludf.dummyfunction("""COMPUTED_VALUE"""),"Лупа просмотровая MAPED (Франция) (450604)")</f>
        <v>Лупа просмотровая MAPED (Франция) (450604)</v>
      </c>
      <c r="C27" s="5" t="str">
        <f aca="false">IFERROR(__xludf.dummyfunction("""COMPUTED_VALUE"""),"В наличии 182")</f>
        <v>В наличии 182</v>
      </c>
      <c r="D27" s="5" t="n">
        <f aca="false">IFERROR(__xludf.dummyfunction("""COMPUTED_VALUE"""),682)</f>
        <v>682</v>
      </c>
      <c r="E27" s="7" t="str">
        <f aca="false">IFERROR(__xludf.dummyfunction("""COMPUTED_VALUE"""),"/lupa-prosmotrovaya-maped-franciya-450604-/")</f>
        <v>/lupa-prosmotrovaya-maped-franciya-450604-/</v>
      </c>
    </row>
    <row r="28" customFormat="false" ht="13.8" hidden="false" customHeight="false" outlineLevel="0" collapsed="false">
      <c r="A28" s="5" t="n">
        <f aca="false">IFERROR(__xludf.dummyfunction("""COMPUTED_VALUE"""),206804)</f>
        <v>206804</v>
      </c>
      <c r="B28" s="7" t="str">
        <f aca="false">IFERROR(__xludf.dummyfunction("""COMPUTED_VALUE"""),"Набор BRAUBERG (223515)")</f>
        <v>Набор BRAUBERG (223515)</v>
      </c>
      <c r="C28" s="5" t="str">
        <f aca="false">IFERROR(__xludf.dummyfunction("""COMPUTED_VALUE"""),"В наличии 18")</f>
        <v>В наличии 18</v>
      </c>
      <c r="D28" s="5" t="n">
        <f aca="false">IFERROR(__xludf.dummyfunction("""COMPUTED_VALUE"""),266)</f>
        <v>266</v>
      </c>
      <c r="E28" s="7" t="str">
        <f aca="false">IFERROR(__xludf.dummyfunction("""COMPUTED_VALUE"""),"/nabor-brauberg-223515-/")</f>
        <v>/nabor-brauberg-223515-/</v>
      </c>
    </row>
    <row r="29" customFormat="false" ht="13.8" hidden="false" customHeight="false" outlineLevel="0" collapsed="false">
      <c r="A29" s="5" t="n">
        <f aca="false">IFERROR(__xludf.dummyfunction("""COMPUTED_VALUE"""),206805)</f>
        <v>206805</v>
      </c>
      <c r="B29" s="7" t="str">
        <f aca="false">IFERROR(__xludf.dummyfunction("""COMPUTED_VALUE"""),"Набор BRAUBERG (223517)")</f>
        <v>Набор BRAUBERG (223517)</v>
      </c>
      <c r="C29" s="5" t="str">
        <f aca="false">IFERROR(__xludf.dummyfunction("""COMPUTED_VALUE"""),"В наличии 463")</f>
        <v>В наличии 463</v>
      </c>
      <c r="D29" s="5" t="n">
        <f aca="false">IFERROR(__xludf.dummyfunction("""COMPUTED_VALUE"""),328)</f>
        <v>328</v>
      </c>
      <c r="E29" s="7" t="str">
        <f aca="false">IFERROR(__xludf.dummyfunction("""COMPUTED_VALUE"""),"/nabor-brauberg-223517-/")</f>
        <v>/nabor-brauberg-223517-/</v>
      </c>
    </row>
    <row r="30" customFormat="false" ht="13.8" hidden="false" customHeight="false" outlineLevel="0" collapsed="false">
      <c r="A30" s="5" t="n">
        <f aca="false">IFERROR(__xludf.dummyfunction("""COMPUTED_VALUE"""),206806)</f>
        <v>206806</v>
      </c>
      <c r="B30" s="7" t="str">
        <f aca="false">IFERROR(__xludf.dummyfunction("""COMPUTED_VALUE"""),"Набор BRAUBERG (223518)")</f>
        <v>Набор BRAUBERG (223518)</v>
      </c>
      <c r="C30" s="5" t="str">
        <f aca="false">IFERROR(__xludf.dummyfunction("""COMPUTED_VALUE"""),"В наличии 1094")</f>
        <v>В наличии 1094</v>
      </c>
      <c r="D30" s="5" t="n">
        <f aca="false">IFERROR(__xludf.dummyfunction("""COMPUTED_VALUE"""),533)</f>
        <v>533</v>
      </c>
      <c r="E30" s="7" t="str">
        <f aca="false">IFERROR(__xludf.dummyfunction("""COMPUTED_VALUE"""),"/nabor-brauberg-223518-/")</f>
        <v>/nabor-brauberg-223518-/</v>
      </c>
    </row>
    <row r="31" customFormat="false" ht="46.25" hidden="false" customHeight="false" outlineLevel="0" collapsed="false">
      <c r="A31" s="5" t="n">
        <f aca="false">IFERROR(__xludf.dummyfunction("""COMPUTED_VALUE"""),287536)</f>
        <v>287536</v>
      </c>
      <c r="B31" s="7" t="str">
        <f aca="false">IFERROR(__xludf.dummyfunction("""COMPUTED_VALUE"""),"Набор BRAUBERG, скрепки цветные 28 мм/100 шт., кнопки канцелярские 100 шт., 
силовые кнопки 50 шт., 229675")</f>
        <v>Набор BRAUBERG, скрепки цветные 28 мм/100 шт., кнопки канцелярские 100 шт., 
силовые кнопки 50 шт., 229675</v>
      </c>
      <c r="C31" s="5" t="str">
        <f aca="false">IFERROR(__xludf.dummyfunction("""COMPUTED_VALUE"""),"В наличии 6155")</f>
        <v>В наличии 6155</v>
      </c>
      <c r="D31" s="5" t="n">
        <f aca="false">IFERROR(__xludf.dummyfunction("""COMPUTED_VALUE"""),194)</f>
        <v>194</v>
      </c>
      <c r="E31" s="7" t="str">
        <f aca="false">IFERROR(__xludf.dummyfunction("""COMPUTED_VALUE"""),"/nabor-brauberg-skrepki-cvetnye-28-mm-100-sht-knopki-kancelyarskie-100-sht-silovye-knopki-50-sht-229675/")</f>
        <v>/nabor-brauberg-skrepki-cvetnye-28-mm-100-sht-knopki-kancelyarskie-100-sht-silovye-knopki-50-sht-229675/</v>
      </c>
    </row>
    <row r="32" customFormat="false" ht="13.8" hidden="false" customHeight="false" outlineLevel="0" collapsed="false">
      <c r="A32" s="5" t="n">
        <f aca="false">IFERROR(__xludf.dummyfunction("""COMPUTED_VALUE"""),207757)</f>
        <v>207757</v>
      </c>
      <c r="B32" s="7" t="str">
        <f aca="false">IFERROR(__xludf.dummyfunction("""COMPUTED_VALUE"""),"Набор STAFF (226255)")</f>
        <v>Набор STAFF (226255)</v>
      </c>
      <c r="C32" s="5" t="str">
        <f aca="false">IFERROR(__xludf.dummyfunction("""COMPUTED_VALUE"""),"В наличии 3283")</f>
        <v>В наличии 3283</v>
      </c>
      <c r="D32" s="5" t="n">
        <f aca="false">IFERROR(__xludf.dummyfunction("""COMPUTED_VALUE"""),165)</f>
        <v>165</v>
      </c>
      <c r="E32" s="7" t="str">
        <f aca="false">IFERROR(__xludf.dummyfunction("""COMPUTED_VALUE"""),"/nabor-staff-226255-/")</f>
        <v>/nabor-staff-226255-/</v>
      </c>
    </row>
    <row r="33" customFormat="false" ht="23.85" hidden="false" customHeight="false" outlineLevel="0" collapsed="false">
      <c r="A33" s="5" t="n">
        <f aca="false">IFERROR(__xludf.dummyfunction("""COMPUTED_VALUE"""),497565)</f>
        <v>497565</v>
      </c>
      <c r="B33" s="7" t="str">
        <f aca="false">IFERROR(__xludf.dummyfunction("""COMPUTED_VALUE"""),"Набор из 10 шт, Булавки офисные BRAUBERG (220562)")</f>
        <v>Набор из 10 шт, Булавки офисные BRAUBERG (220562)</v>
      </c>
      <c r="C33" s="5" t="str">
        <f aca="false">IFERROR(__xludf.dummyfunction("""COMPUTED_VALUE"""),"В наличии 259")</f>
        <v>В наличии 259</v>
      </c>
      <c r="D33" s="5" t="n">
        <f aca="false">IFERROR(__xludf.dummyfunction("""COMPUTED_VALUE"""),650)</f>
        <v>650</v>
      </c>
      <c r="E33" s="7" t="str">
        <f aca="false">IFERROR(__xludf.dummyfunction("""COMPUTED_VALUE"""),"/nabor-iz-10-sht-bulavki-ofisnye-brauberg-220562-/")</f>
        <v>/nabor-iz-10-sht-bulavki-ofisnye-brauberg-220562-/</v>
      </c>
    </row>
    <row r="34" customFormat="false" ht="35.05" hidden="false" customHeight="false" outlineLevel="0" collapsed="false">
      <c r="A34" s="5" t="n">
        <f aca="false">IFERROR(__xludf.dummyfunction("""COMPUTED_VALUE"""),501118)</f>
        <v>501118</v>
      </c>
      <c r="B34" s="7" t="str">
        <f aca="false">IFERROR(__xludf.dummyfunction("""COMPUTED_VALUE"""),"Набор из 10 шт, Клей-роллер канцелярский BRAUBERG (для бумаги (225208)")</f>
        <v>Набор из 10 шт, Клей-роллер канцелярский BRAUBERG (для бумаги (225208)</v>
      </c>
      <c r="C34" s="5" t="str">
        <f aca="false">IFERROR(__xludf.dummyfunction("""COMPUTED_VALUE"""),"В наличии 773")</f>
        <v>В наличии 773</v>
      </c>
      <c r="D34" s="5" t="n">
        <f aca="false">IFERROR(__xludf.dummyfunction("""COMPUTED_VALUE"""),110)</f>
        <v>110</v>
      </c>
      <c r="E34" s="7" t="str">
        <f aca="false">IFERROR(__xludf.dummyfunction("""COMPUTED_VALUE"""),"/nabor-iz-10-sht-klej-roller-kancelyarskij-brauberg-dlya-bumagi-225208-/")</f>
        <v>/nabor-iz-10-sht-klej-roller-kancelyarskij-brauberg-dlya-bumagi-225208-/</v>
      </c>
    </row>
    <row r="35" customFormat="false" ht="35.05" hidden="false" customHeight="false" outlineLevel="0" collapsed="false">
      <c r="A35" s="5" t="n">
        <f aca="false">IFERROR(__xludf.dummyfunction("""COMPUTED_VALUE"""),501246)</f>
        <v>501246</v>
      </c>
      <c r="B35" s="7" t="str">
        <f aca="false">IFERROR(__xludf.dummyfunction("""COMPUTED_VALUE"""),"Набор из 10 шт, Клей-роллер канцелярский BRAUBERG (для бумаги (226757)")</f>
        <v>Набор из 10 шт, Клей-роллер канцелярский BRAUBERG (для бумаги (226757)</v>
      </c>
      <c r="C35" s="5" t="str">
        <f aca="false">IFERROR(__xludf.dummyfunction("""COMPUTED_VALUE"""),"В наличии 340")</f>
        <v>В наличии 340</v>
      </c>
      <c r="D35" s="5" t="n">
        <f aca="false">IFERROR(__xludf.dummyfunction("""COMPUTED_VALUE"""),310)</f>
        <v>310</v>
      </c>
      <c r="E35" s="7" t="str">
        <f aca="false">IFERROR(__xludf.dummyfunction("""COMPUTED_VALUE"""),"/nabor-iz-10-sht-klej-roller-kancelyarskij-brauberg-dlya-bumagi-226757-/")</f>
        <v>/nabor-iz-10-sht-klej-roller-kancelyarskij-brauberg-dlya-bumagi-226757-/</v>
      </c>
    </row>
    <row r="36" customFormat="false" ht="35.05" hidden="false" customHeight="false" outlineLevel="0" collapsed="false">
      <c r="A36" s="5" t="n">
        <f aca="false">IFERROR(__xludf.dummyfunction("""COMPUTED_VALUE"""),500980)</f>
        <v>500980</v>
      </c>
      <c r="B36" s="7" t="str">
        <f aca="false">IFERROR(__xludf.dummyfunction("""COMPUTED_VALUE"""),"Набор из 10 шт, Клейкие ленты 12 мм х 10 м канцелярские BRAUBERG (223122)")</f>
        <v>Набор из 10 шт, Клейкие ленты 12 мм х 10 м канцелярские BRAUBERG (223122)</v>
      </c>
      <c r="C36" s="5" t="str">
        <f aca="false">IFERROR(__xludf.dummyfunction("""COMPUTED_VALUE"""),"В наличии 556")</f>
        <v>В наличии 556</v>
      </c>
      <c r="D36" s="5" t="n">
        <f aca="false">IFERROR(__xludf.dummyfunction("""COMPUTED_VALUE"""),660)</f>
        <v>660</v>
      </c>
      <c r="E36" s="7" t="str">
        <f aca="false">IFERROR(__xludf.dummyfunction("""COMPUTED_VALUE"""),"/nabor-iz-10-sht-klejkie-lenty-12-mm-h-10-m-kancelyarskie-brauberg-223122-/")</f>
        <v>/nabor-iz-10-sht-klejkie-lenty-12-mm-h-10-m-kancelyarskie-brauberg-223122-/</v>
      </c>
    </row>
    <row r="37" customFormat="false" ht="23.85" hidden="false" customHeight="false" outlineLevel="0" collapsed="false">
      <c r="A37" s="5" t="n">
        <f aca="false">IFERROR(__xludf.dummyfunction("""COMPUTED_VALUE"""),497621)</f>
        <v>497621</v>
      </c>
      <c r="B37" s="7" t="str">
        <f aca="false">IFERROR(__xludf.dummyfunction("""COMPUTED_VALUE"""),"Набор из 10 шт, Скрепки BRAUBERG (221534)")</f>
        <v>Набор из 10 шт, Скрепки BRAUBERG (221534)</v>
      </c>
      <c r="C37" s="5" t="str">
        <f aca="false">IFERROR(__xludf.dummyfunction("""COMPUTED_VALUE"""),"В наличии 2443")</f>
        <v>В наличии 2443</v>
      </c>
      <c r="D37" s="5" t="n">
        <f aca="false">IFERROR(__xludf.dummyfunction("""COMPUTED_VALUE"""),440)</f>
        <v>440</v>
      </c>
      <c r="E37" s="7" t="str">
        <f aca="false">IFERROR(__xludf.dummyfunction("""COMPUTED_VALUE"""),"/nabor-iz-10-sht-skrepki-brauberg-221534-/")</f>
        <v>/nabor-iz-10-sht-skrepki-brauberg-221534-/</v>
      </c>
    </row>
    <row r="38" customFormat="false" ht="23.85" hidden="false" customHeight="false" outlineLevel="0" collapsed="false">
      <c r="A38" s="5" t="n">
        <f aca="false">IFERROR(__xludf.dummyfunction("IMPORTXML(getIdItems(""https://www.lustrof.ru/category/ofis/kanctovary/kantselyarskie-melochi/?page="",2),""//span[@class='products__item-info-code-v']"")"),497655)</f>
        <v>497655</v>
      </c>
      <c r="B38" s="7" t="str">
        <f aca="false">IFERROR(__xludf.dummyfunction("IMPORTXML(getIdItems(""https://www.lustrof.ru/category/ofis/kanctovary/kantselyarskie-melochi/?page="",2),""//span[@class='products__item-info-name']"")"),"Набор из 10 шт, Скрепки большие 50 мм (222322)")</f>
        <v>Набор из 10 шт, Скрепки большие 50 мм (222322)</v>
      </c>
      <c r="C38" s="5" t="str">
        <f aca="false">IFERROR(__xludf.dummyfunction("IMPORTXML(getIdItems(""https://www.lustrof.ru/category/ofis/kanctovary/kantselyarskie-melochi/?page="",2),""//span[@class='products__available-in-stock']"")"),"В наличии 11")</f>
        <v>В наличии 11</v>
      </c>
      <c r="D38" s="5" t="n">
        <f aca="false">IFERROR(__xludf.dummyfunction("IMPORTXML(getIdItems(""https://www.lustrof.ru/category/ofis/kanctovary/kantselyarskie-melochi/?page="",2),""//span[@class='products__price-new']/text()"")"),1270)</f>
        <v>1270</v>
      </c>
      <c r="E38" s="7" t="str">
        <f aca="false">IFERROR(__xludf.dummyfunction("IMPORTXML(getIdItems(""https://www.lustrof.ru/category/ofis/kanctovary/kantselyarskie-melochi/?page="",2),""//div[@class='products__item']/a/@href"")"),"/nabor-iz-10-sht-skrepki-bolshie-50-mm-222322-/")</f>
        <v>/nabor-iz-10-sht-skrepki-bolshie-50-mm-222322-/</v>
      </c>
    </row>
    <row r="39" customFormat="false" ht="23.85" hidden="false" customHeight="false" outlineLevel="0" collapsed="false">
      <c r="A39" s="5" t="n">
        <f aca="false">IFERROR(__xludf.dummyfunction("""COMPUTED_VALUE"""),497846)</f>
        <v>497846</v>
      </c>
      <c r="B39" s="7" t="str">
        <f aca="false">IFERROR(__xludf.dummyfunction("""COMPUTED_VALUE"""),"Набор из 10 шт, Скрепки большие 50 мм (226755)")</f>
        <v>Набор из 10 шт, Скрепки большие 50 мм (226755)</v>
      </c>
      <c r="C39" s="5" t="str">
        <f aca="false">IFERROR(__xludf.dummyfunction("""COMPUTED_VALUE"""),"В наличии 1701")</f>
        <v>В наличии 1701</v>
      </c>
      <c r="D39" s="5" t="n">
        <f aca="false">IFERROR(__xludf.dummyfunction("""COMPUTED_VALUE"""),1410)</f>
        <v>1410</v>
      </c>
      <c r="E39" s="7" t="str">
        <f aca="false">IFERROR(__xludf.dummyfunction("""COMPUTED_VALUE"""),"/nabor-iz-10-sht-skrepki-bolshie-50-mm-226755-/")</f>
        <v>/nabor-iz-10-sht-skrepki-bolshie-50-mm-226755-/</v>
      </c>
    </row>
    <row r="40" customFormat="false" ht="46.25" hidden="false" customHeight="false" outlineLevel="0" collapsed="false">
      <c r="A40" s="5" t="n">
        <f aca="false">IFERROR(__xludf.dummyfunction("""COMPUTED_VALUE"""),506666)</f>
        <v>506666</v>
      </c>
      <c r="B40" s="7" t="str">
        <f aca="false">IFERROR(__xludf.dummyfunction("""COMPUTED_VALUE"""),"Набор из 10 шт, Скрепки большие 50 мм, BRAUBERG, золотистые, 50 шт., в 
картонной коробке, 270447")</f>
        <v>Набор из 10 шт, Скрепки большие 50 мм, BRAUBERG, золотистые, 50 шт., в 
картонной коробке, 270447</v>
      </c>
      <c r="C40" s="5" t="str">
        <f aca="false">IFERROR(__xludf.dummyfunction("""COMPUTED_VALUE"""),"В наличии 2155")</f>
        <v>В наличии 2155</v>
      </c>
      <c r="D40" s="5" t="n">
        <f aca="false">IFERROR(__xludf.dummyfunction("""COMPUTED_VALUE"""),540)</f>
        <v>540</v>
      </c>
      <c r="E40" s="7" t="str">
        <f aca="false">IFERROR(__xludf.dummyfunction("""COMPUTED_VALUE"""),"/nabor-iz-10-sht-skrepki-bolshie-50-mm-brauberg-zolotistye-50-sht-v-kartonnoj-korobke-270447/")</f>
        <v>/nabor-iz-10-sht-skrepki-bolshie-50-mm-brauberg-zolotistye-50-sht-v-kartonnoj-korobke-270447/</v>
      </c>
    </row>
    <row r="41" customFormat="false" ht="23.85" hidden="false" customHeight="false" outlineLevel="0" collapsed="false">
      <c r="A41" s="5" t="n">
        <f aca="false">IFERROR(__xludf.dummyfunction("""COMPUTED_VALUE"""),497553)</f>
        <v>497553</v>
      </c>
      <c r="B41" s="7" t="str">
        <f aca="false">IFERROR(__xludf.dummyfunction("""COMPUTED_VALUE"""),"Набор из 12 шт, Зажимы для бумаг BRAUBERG (220558)")</f>
        <v>Набор из 12 шт, Зажимы для бумаг BRAUBERG (220558)</v>
      </c>
      <c r="C41" s="5" t="str">
        <f aca="false">IFERROR(__xludf.dummyfunction("""COMPUTED_VALUE"""),"В наличии 1343")</f>
        <v>В наличии 1343</v>
      </c>
      <c r="D41" s="5" t="n">
        <f aca="false">IFERROR(__xludf.dummyfunction("""COMPUTED_VALUE"""),912)</f>
        <v>912</v>
      </c>
      <c r="E41" s="7" t="str">
        <f aca="false">IFERROR(__xludf.dummyfunction("""COMPUTED_VALUE"""),"/nabor-iz-12-sht-zazhimy-dlya-bumag-brauberg-220558-/")</f>
        <v>/nabor-iz-12-sht-zazhimy-dlya-bumag-brauberg-220558-/</v>
      </c>
    </row>
    <row r="42" customFormat="false" ht="23.85" hidden="false" customHeight="false" outlineLevel="0" collapsed="false">
      <c r="A42" s="5" t="n">
        <f aca="false">IFERROR(__xludf.dummyfunction("""COMPUTED_VALUE"""),497558)</f>
        <v>497558</v>
      </c>
      <c r="B42" s="7" t="str">
        <f aca="false">IFERROR(__xludf.dummyfunction("""COMPUTED_VALUE"""),"Набор из 12 шт, Зажимы для бумаг BRAUBERG (220559)")</f>
        <v>Набор из 12 шт, Зажимы для бумаг BRAUBERG (220559)</v>
      </c>
      <c r="C42" s="5" t="str">
        <f aca="false">IFERROR(__xludf.dummyfunction("""COMPUTED_VALUE"""),"В наличии 1243")</f>
        <v>В наличии 1243</v>
      </c>
      <c r="D42" s="5" t="n">
        <f aca="false">IFERROR(__xludf.dummyfunction("""COMPUTED_VALUE"""),576)</f>
        <v>576</v>
      </c>
      <c r="E42" s="7" t="str">
        <f aca="false">IFERROR(__xludf.dummyfunction("""COMPUTED_VALUE"""),"/nabor-iz-12-sht-zazhimy-dlya-bumag-brauberg-220559-/")</f>
        <v>/nabor-iz-12-sht-zazhimy-dlya-bumag-brauberg-220559-/</v>
      </c>
    </row>
    <row r="43" customFormat="false" ht="23.85" hidden="false" customHeight="false" outlineLevel="0" collapsed="false">
      <c r="A43" s="5" t="n">
        <f aca="false">IFERROR(__xludf.dummyfunction("""COMPUTED_VALUE"""),497694)</f>
        <v>497694</v>
      </c>
      <c r="B43" s="7" t="str">
        <f aca="false">IFERROR(__xludf.dummyfunction("""COMPUTED_VALUE"""),"Набор из 12 шт, Зажимы для бумаг BRAUBERG (223969)")</f>
        <v>Набор из 12 шт, Зажимы для бумаг BRAUBERG (223969)</v>
      </c>
      <c r="C43" s="5" t="str">
        <f aca="false">IFERROR(__xludf.dummyfunction("""COMPUTED_VALUE"""),"В наличии 3891")</f>
        <v>В наличии 3891</v>
      </c>
      <c r="D43" s="5" t="n">
        <f aca="false">IFERROR(__xludf.dummyfunction("""COMPUTED_VALUE"""),504)</f>
        <v>504</v>
      </c>
      <c r="E43" s="7" t="str">
        <f aca="false">IFERROR(__xludf.dummyfunction("""COMPUTED_VALUE"""),"/nabor-iz-12-sht-zazhimy-dlya-bumag-brauberg-223969-/")</f>
        <v>/nabor-iz-12-sht-zazhimy-dlya-bumag-brauberg-223969-/</v>
      </c>
    </row>
    <row r="44" customFormat="false" ht="23.85" hidden="false" customHeight="false" outlineLevel="0" collapsed="false">
      <c r="A44" s="5" t="n">
        <f aca="false">IFERROR(__xludf.dummyfunction("""COMPUTED_VALUE"""),497696)</f>
        <v>497696</v>
      </c>
      <c r="B44" s="7" t="str">
        <f aca="false">IFERROR(__xludf.dummyfunction("""COMPUTED_VALUE"""),"Набор из 12 шт, Зажимы для бумаг BRAUBERG (224469)")</f>
        <v>Набор из 12 шт, Зажимы для бумаг BRAUBERG (224469)</v>
      </c>
      <c r="C44" s="5" t="str">
        <f aca="false">IFERROR(__xludf.dummyfunction("""COMPUTED_VALUE"""),"В наличии 1868")</f>
        <v>В наличии 1868</v>
      </c>
      <c r="D44" s="5" t="n">
        <f aca="false">IFERROR(__xludf.dummyfunction("""COMPUTED_VALUE"""),492)</f>
        <v>492</v>
      </c>
      <c r="E44" s="7" t="str">
        <f aca="false">IFERROR(__xludf.dummyfunction("""COMPUTED_VALUE"""),"/nabor-iz-12-sht-zazhimy-dlya-bumag-brauberg-224469-/")</f>
        <v>/nabor-iz-12-sht-zazhimy-dlya-bumag-brauberg-224469-/</v>
      </c>
    </row>
    <row r="45" customFormat="false" ht="23.85" hidden="false" customHeight="false" outlineLevel="0" collapsed="false">
      <c r="A45" s="5" t="n">
        <f aca="false">IFERROR(__xludf.dummyfunction("""COMPUTED_VALUE"""),497702)</f>
        <v>497702</v>
      </c>
      <c r="B45" s="7" t="str">
        <f aca="false">IFERROR(__xludf.dummyfunction("""COMPUTED_VALUE"""),"Набор из 12 шт, Зажимы для бумаг BRAUBERG (224470)")</f>
        <v>Набор из 12 шт, Зажимы для бумаг BRAUBERG (224470)</v>
      </c>
      <c r="C45" s="5" t="str">
        <f aca="false">IFERROR(__xludf.dummyfunction("""COMPUTED_VALUE"""),"В наличии 1638")</f>
        <v>В наличии 1638</v>
      </c>
      <c r="D45" s="5" t="n">
        <f aca="false">IFERROR(__xludf.dummyfunction("""COMPUTED_VALUE"""),720)</f>
        <v>720</v>
      </c>
      <c r="E45" s="7" t="str">
        <f aca="false">IFERROR(__xludf.dummyfunction("""COMPUTED_VALUE"""),"/nabor-iz-12-sht-zazhimy-dlya-bumag-brauberg-224470-/")</f>
        <v>/nabor-iz-12-sht-zazhimy-dlya-bumag-brauberg-224470-/</v>
      </c>
    </row>
    <row r="46" customFormat="false" ht="23.85" hidden="false" customHeight="false" outlineLevel="0" collapsed="false">
      <c r="A46" s="5" t="n">
        <f aca="false">IFERROR(__xludf.dummyfunction("""COMPUTED_VALUE"""),497723)</f>
        <v>497723</v>
      </c>
      <c r="B46" s="7" t="str">
        <f aca="false">IFERROR(__xludf.dummyfunction("""COMPUTED_VALUE"""),"Набор из 12 шт, Зажимы для бумаг STAFF (224608)")</f>
        <v>Набор из 12 шт, Зажимы для бумаг STAFF (224608)</v>
      </c>
      <c r="C46" s="5" t="str">
        <f aca="false">IFERROR(__xludf.dummyfunction("""COMPUTED_VALUE"""),"В наличии 9196")</f>
        <v>В наличии 9196</v>
      </c>
      <c r="D46" s="5" t="n">
        <f aca="false">IFERROR(__xludf.dummyfunction("""COMPUTED_VALUE"""),684)</f>
        <v>684</v>
      </c>
      <c r="E46" s="7" t="str">
        <f aca="false">IFERROR(__xludf.dummyfunction("""COMPUTED_VALUE"""),"/nabor-iz-12-sht-zazhimy-dlya-bumag-staff-224608-/")</f>
        <v>/nabor-iz-12-sht-zazhimy-dlya-bumag-staff-224608-/</v>
      </c>
    </row>
    <row r="47" customFormat="false" ht="23.85" hidden="false" customHeight="false" outlineLevel="0" collapsed="false">
      <c r="A47" s="5" t="n">
        <f aca="false">IFERROR(__xludf.dummyfunction("""COMPUTED_VALUE"""),497753)</f>
        <v>497753</v>
      </c>
      <c r="B47" s="7" t="str">
        <f aca="false">IFERROR(__xludf.dummyfunction("""COMPUTED_VALUE"""),"Набор из 12 шт, Зажимы для бумаг ОФИСМАГ (225154)")</f>
        <v>Набор из 12 шт, Зажимы для бумаг ОФИСМАГ (225154)</v>
      </c>
      <c r="C47" s="5" t="str">
        <f aca="false">IFERROR(__xludf.dummyfunction("""COMPUTED_VALUE"""),"В наличии 574")</f>
        <v>В наличии 574</v>
      </c>
      <c r="D47" s="5" t="n">
        <f aca="false">IFERROR(__xludf.dummyfunction("""COMPUTED_VALUE"""),564)</f>
        <v>564</v>
      </c>
      <c r="E47" s="7" t="str">
        <f aca="false">IFERROR(__xludf.dummyfunction("""COMPUTED_VALUE"""),"/nabor-iz-12-sht-zazhimy-dlya-bumag-ofismag-225154-/")</f>
        <v>/nabor-iz-12-sht-zazhimy-dlya-bumag-ofismag-225154-/</v>
      </c>
    </row>
    <row r="48" customFormat="false" ht="23.85" hidden="false" customHeight="false" outlineLevel="0" collapsed="false">
      <c r="A48" s="5" t="n">
        <f aca="false">IFERROR(__xludf.dummyfunction("""COMPUTED_VALUE"""),497754)</f>
        <v>497754</v>
      </c>
      <c r="B48" s="7" t="str">
        <f aca="false">IFERROR(__xludf.dummyfunction("""COMPUTED_VALUE"""),"Набор из 12 шт, Зажимы для бумаг ОФИСМАГ (225155)")</f>
        <v>Набор из 12 шт, Зажимы для бумаг ОФИСМАГ (225155)</v>
      </c>
      <c r="C48" s="5" t="str">
        <f aca="false">IFERROR(__xludf.dummyfunction("""COMPUTED_VALUE"""),"В наличии 27")</f>
        <v>В наличии 27</v>
      </c>
      <c r="D48" s="5" t="n">
        <f aca="false">IFERROR(__xludf.dummyfunction("""COMPUTED_VALUE"""),900)</f>
        <v>900</v>
      </c>
      <c r="E48" s="7" t="str">
        <f aca="false">IFERROR(__xludf.dummyfunction("""COMPUTED_VALUE"""),"/nabor-iz-12-sht-zazhimy-dlya-bumag-ofismag-225155-/")</f>
        <v>/nabor-iz-12-sht-zazhimy-dlya-bumag-ofismag-225155-/</v>
      </c>
    </row>
    <row r="49" customFormat="false" ht="23.85" hidden="false" customHeight="false" outlineLevel="0" collapsed="false">
      <c r="A49" s="5" t="n">
        <f aca="false">IFERROR(__xludf.dummyfunction("""COMPUTED_VALUE"""),501247)</f>
        <v>501247</v>
      </c>
      <c r="B49" s="7" t="str">
        <f aca="false">IFERROR(__xludf.dummyfunction("""COMPUTED_VALUE"""),"Набор из 12 шт, Зажимы для бумаг ОФИСМАГ (226761)")</f>
        <v>Набор из 12 шт, Зажимы для бумаг ОФИСМАГ (226761)</v>
      </c>
      <c r="C49" s="5" t="str">
        <f aca="false">IFERROR(__xludf.dummyfunction("""COMPUTED_VALUE"""),"В наличии 669")</f>
        <v>В наличии 669</v>
      </c>
      <c r="D49" s="5" t="n">
        <f aca="false">IFERROR(__xludf.dummyfunction("""COMPUTED_VALUE"""),540)</f>
        <v>540</v>
      </c>
      <c r="E49" s="7" t="str">
        <f aca="false">IFERROR(__xludf.dummyfunction("""COMPUTED_VALUE"""),"/nabor-iz-12-sht-zazhimy-dlya-bumag-ofismag-226761-/")</f>
        <v>/nabor-iz-12-sht-zazhimy-dlya-bumag-ofismag-226761-/</v>
      </c>
    </row>
    <row r="50" customFormat="false" ht="23.85" hidden="false" customHeight="false" outlineLevel="0" collapsed="false">
      <c r="A50" s="5" t="n">
        <f aca="false">IFERROR(__xludf.dummyfunction("""COMPUTED_VALUE"""),501248)</f>
        <v>501248</v>
      </c>
      <c r="B50" s="7" t="str">
        <f aca="false">IFERROR(__xludf.dummyfunction("""COMPUTED_VALUE"""),"Набор из 12 шт, Зажимы для бумаг ОФИСМАГ (226762)")</f>
        <v>Набор из 12 шт, Зажимы для бумаг ОФИСМАГ (226762)</v>
      </c>
      <c r="C50" s="5" t="str">
        <f aca="false">IFERROR(__xludf.dummyfunction("""COMPUTED_VALUE"""),"В наличии 445")</f>
        <v>В наличии 445</v>
      </c>
      <c r="D50" s="5" t="n">
        <f aca="false">IFERROR(__xludf.dummyfunction("""COMPUTED_VALUE"""),444)</f>
        <v>444</v>
      </c>
      <c r="E50" s="7" t="str">
        <f aca="false">IFERROR(__xludf.dummyfunction("""COMPUTED_VALUE"""),"/nabor-iz-12-sht-zazhimy-dlya-bumag-ofismag-226762-/")</f>
        <v>/nabor-iz-12-sht-zazhimy-dlya-bumag-ofismag-226762-/</v>
      </c>
    </row>
    <row r="51" customFormat="false" ht="23.85" hidden="false" customHeight="false" outlineLevel="0" collapsed="false">
      <c r="A51" s="5" t="n">
        <f aca="false">IFERROR(__xludf.dummyfunction("""COMPUTED_VALUE"""),501249)</f>
        <v>501249</v>
      </c>
      <c r="B51" s="7" t="str">
        <f aca="false">IFERROR(__xludf.dummyfunction("""COMPUTED_VALUE"""),"Набор из 12 шт, Зажимы для бумаг ОФИСМАГ (226763)")</f>
        <v>Набор из 12 шт, Зажимы для бумаг ОФИСМАГ (226763)</v>
      </c>
      <c r="C51" s="5" t="str">
        <f aca="false">IFERROR(__xludf.dummyfunction("""COMPUTED_VALUE"""),"В наличии 515")</f>
        <v>В наличии 515</v>
      </c>
      <c r="D51" s="5" t="n">
        <f aca="false">IFERROR(__xludf.dummyfunction("""COMPUTED_VALUE"""),708)</f>
        <v>708</v>
      </c>
      <c r="E51" s="7" t="str">
        <f aca="false">IFERROR(__xludf.dummyfunction("""COMPUTED_VALUE"""),"/nabor-iz-12-sht-zazhimy-dlya-bumag-ofismag-226763-/")</f>
        <v>/nabor-iz-12-sht-zazhimy-dlya-bumag-ofismag-226763-/</v>
      </c>
    </row>
    <row r="52" customFormat="false" ht="23.85" hidden="false" customHeight="false" outlineLevel="0" collapsed="false">
      <c r="A52" s="5" t="n">
        <f aca="false">IFERROR(__xludf.dummyfunction("""COMPUTED_VALUE"""),501250)</f>
        <v>501250</v>
      </c>
      <c r="B52" s="7" t="str">
        <f aca="false">IFERROR(__xludf.dummyfunction("""COMPUTED_VALUE"""),"Набор из 12 шт, Зажимы для бумаг ОФИСМАГ (226764)")</f>
        <v>Набор из 12 шт, Зажимы для бумаг ОФИСМАГ (226764)</v>
      </c>
      <c r="C52" s="5" t="str">
        <f aca="false">IFERROR(__xludf.dummyfunction("""COMPUTED_VALUE"""),"В наличии 1021")</f>
        <v>В наличии 1021</v>
      </c>
      <c r="D52" s="5" t="n">
        <f aca="false">IFERROR(__xludf.dummyfunction("""COMPUTED_VALUE"""),1284)</f>
        <v>1284</v>
      </c>
      <c r="E52" s="7" t="str">
        <f aca="false">IFERROR(__xludf.dummyfunction("""COMPUTED_VALUE"""),"/nabor-iz-12-sht-zazhimy-dlya-bumag-ofismag-226764-/")</f>
        <v>/nabor-iz-12-sht-zazhimy-dlya-bumag-ofismag-226764-/</v>
      </c>
    </row>
    <row r="53" customFormat="false" ht="57.45" hidden="false" customHeight="false" outlineLevel="0" collapsed="false">
      <c r="A53" s="5" t="n">
        <f aca="false">IFERROR(__xludf.dummyfunction("""COMPUTED_VALUE"""),500880)</f>
        <v>500880</v>
      </c>
      <c r="B53" s="7" t="str">
        <f aca="false">IFERROR(__xludf.dummyfunction("""COMPUTED_VALUE"""),"Набор из 12 шт, Зажимы для бумаг ОФИСНАЯ ПЛАНЕТА, КОМПЛЕКТ 12 шт., 25 мм, 
на 100 листов, черные, картонная коробка (221999)")</f>
        <v>Набор из 12 шт, Зажимы для бумаг ОФИСНАЯ ПЛАНЕТА, КОМПЛЕКТ 12 шт., 25 мм, 
на 100 листов, черные, картонная коробка (221999)</v>
      </c>
      <c r="C53" s="5" t="str">
        <f aca="false">IFERROR(__xludf.dummyfunction("""COMPUTED_VALUE"""),"В наличии 37")</f>
        <v>В наличии 37</v>
      </c>
      <c r="D53" s="5" t="n">
        <f aca="false">IFERROR(__xludf.dummyfunction("""COMPUTED_VALUE"""),912)</f>
        <v>912</v>
      </c>
      <c r="E53" s="7" t="str">
        <f aca="false">IFERROR(__xludf.dummyfunction("""COMPUTED_VALUE"""),"/nabor-iz-12-sht-zazhimy-dlya-bumag-ofisnaya-planeta-komplekt-12-sht-25-mm-na-100-listov-chernye-kartonnaya-korobka-221999-/")</f>
        <v>/nabor-iz-12-sht-zazhimy-dlya-bumag-ofisnaya-planeta-komplekt-12-sht-25-mm-na-100-listov-chernye-kartonnaya-korobka-221999-/</v>
      </c>
    </row>
    <row r="54" customFormat="false" ht="35.05" hidden="false" customHeight="false" outlineLevel="0" collapsed="false">
      <c r="A54" s="5" t="n">
        <f aca="false">IFERROR(__xludf.dummyfunction("""COMPUTED_VALUE"""),501397)</f>
        <v>501397</v>
      </c>
      <c r="B54" s="7" t="str">
        <f aca="false">IFERROR(__xludf.dummyfunction("""COMPUTED_VALUE"""),"Набор из 12 шт, Клей канцелярский BRAUBERG (227535)")</f>
        <v>Набор из 12 шт, Клей канцелярский BRAUBERG (227535)</v>
      </c>
      <c r="C54" s="5" t="str">
        <f aca="false">IFERROR(__xludf.dummyfunction("""COMPUTED_VALUE"""),"В наличии 1178")</f>
        <v>В наличии 1178</v>
      </c>
      <c r="D54" s="5" t="n">
        <f aca="false">IFERROR(__xludf.dummyfunction("""COMPUTED_VALUE"""),360)</f>
        <v>360</v>
      </c>
      <c r="E54" s="7" t="str">
        <f aca="false">IFERROR(__xludf.dummyfunction("""COMPUTED_VALUE"""),"/nabor-iz-12-sht-klej-kancelyarskij-brauberg-227535-/")</f>
        <v>/nabor-iz-12-sht-klej-kancelyarskij-brauberg-227535-/</v>
      </c>
    </row>
    <row r="55" customFormat="false" ht="35.05" hidden="false" customHeight="false" outlineLevel="0" collapsed="false">
      <c r="A55" s="5" t="n">
        <f aca="false">IFERROR(__xludf.dummyfunction("""COMPUTED_VALUE"""),503313)</f>
        <v>503313</v>
      </c>
      <c r="B55" s="7" t="str">
        <f aca="false">IFERROR(__xludf.dummyfunction("""COMPUTED_VALUE"""),"Набор из 12 шт, Клей канцелярский BRAUBERG, 70 мл, с кисточкой, 228407")</f>
        <v>Набор из 12 шт, Клей канцелярский BRAUBERG, 70 мл, с кисточкой, 228407</v>
      </c>
      <c r="C55" s="5" t="str">
        <f aca="false">IFERROR(__xludf.dummyfunction("""COMPUTED_VALUE"""),"В наличии 1166")</f>
        <v>В наличии 1166</v>
      </c>
      <c r="D55" s="5" t="n">
        <f aca="false">IFERROR(__xludf.dummyfunction("""COMPUTED_VALUE"""),300)</f>
        <v>300</v>
      </c>
      <c r="E55" s="7" t="str">
        <f aca="false">IFERROR(__xludf.dummyfunction("""COMPUTED_VALUE"""),"/nabor-iz-12-sht-klej-kancelyarskij-brauberg-70-ml-s-kistochkoj-228407/")</f>
        <v>/nabor-iz-12-sht-klej-kancelyarskij-brauberg-70-ml-s-kistochkoj-228407/</v>
      </c>
    </row>
    <row r="56" customFormat="false" ht="57.45" hidden="false" customHeight="false" outlineLevel="0" collapsed="false">
      <c r="A56" s="5" t="n">
        <f aca="false">IFERROR(__xludf.dummyfunction("""COMPUTED_VALUE"""),503312)</f>
        <v>503312</v>
      </c>
      <c r="B56" s="7" t="str">
        <f aca="false">IFERROR(__xludf.dummyfunction("""COMPUTED_VALUE"""),"Набор из 12 шт, Клей канцелярский EXTRA BRAUBERG, 150 мл, с дозатором, 
228406")</f>
        <v>Набор из 12 шт, Клей канцелярский EXTRA BRAUBERG, 150 мл, с дозатором, 
228406</v>
      </c>
      <c r="C56" s="5" t="str">
        <f aca="false">IFERROR(__xludf.dummyfunction("""COMPUTED_VALUE"""),"В наличии 1530")</f>
        <v>В наличии 1530</v>
      </c>
      <c r="D56" s="5" t="n">
        <f aca="false">IFERROR(__xludf.dummyfunction("""COMPUTED_VALUE"""),1224)</f>
        <v>1224</v>
      </c>
      <c r="E56" s="7" t="str">
        <f aca="false">IFERROR(__xludf.dummyfunction("""COMPUTED_VALUE"""),"/nabor-iz-12-sht-klej-kancelyarskij-extra-brauberg-150-ml-s-dozatorom-228406/")</f>
        <v>/nabor-iz-12-sht-klej-kancelyarskij-extra-brauberg-150-ml-s-dozatorom-228406/</v>
      </c>
    </row>
    <row r="57" customFormat="false" ht="46.25" hidden="false" customHeight="false" outlineLevel="0" collapsed="false">
      <c r="A57" s="5" t="n">
        <f aca="false">IFERROR(__xludf.dummyfunction("""COMPUTED_VALUE"""),503335)</f>
        <v>503335</v>
      </c>
      <c r="B57" s="7" t="str">
        <f aca="false">IFERROR(__xludf.dummyfunction("""COMPUTED_VALUE"""),"Набор из 12 шт, Клей канцелярский ЮНЛАНДИЯ, 50 мл, с силиконовой кисточкой, 
228409")</f>
        <v>Набор из 12 шт, Клей канцелярский ЮНЛАНДИЯ, 50 мл, с силиконовой кисточкой, 
228409</v>
      </c>
      <c r="C57" s="5" t="str">
        <f aca="false">IFERROR(__xludf.dummyfunction("""COMPUTED_VALUE"""),"В наличии 10960")</f>
        <v>В наличии 10960</v>
      </c>
      <c r="D57" s="5" t="n">
        <f aca="false">IFERROR(__xludf.dummyfunction("""COMPUTED_VALUE"""),204)</f>
        <v>204</v>
      </c>
      <c r="E57" s="7" t="str">
        <f aca="false">IFERROR(__xludf.dummyfunction("""COMPUTED_VALUE"""),"/nabor-iz-12-sht-klej-kancelyarskij-yunlandiya-50-ml-s-silikonovoj-kistochkoj-228409/")</f>
        <v>/nabor-iz-12-sht-klej-kancelyarskij-yunlandiya-50-ml-s-silikonovoj-kistochkoj-228409/</v>
      </c>
    </row>
    <row r="58" customFormat="false" ht="23.85" hidden="false" customHeight="false" outlineLevel="0" collapsed="false">
      <c r="A58" s="5" t="n">
        <f aca="false">IFERROR(__xludf.dummyfunction("""COMPUTED_VALUE"""),501087)</f>
        <v>501087</v>
      </c>
      <c r="B58" s="7" t="str">
        <f aca="false">IFERROR(__xludf.dummyfunction("""COMPUTED_VALUE"""),"Набор из 12 шт, Клей-карандаш ""Стандарт"" (224888)")</f>
        <v>Набор из 12 шт, Клей-карандаш "Стандарт" (224888)</v>
      </c>
      <c r="C58" s="5" t="str">
        <f aca="false">IFERROR(__xludf.dummyfunction("""COMPUTED_VALUE"""),"В наличии 443")</f>
        <v>В наличии 443</v>
      </c>
      <c r="D58" s="5" t="n">
        <f aca="false">IFERROR(__xludf.dummyfunction("""COMPUTED_VALUE"""),1032)</f>
        <v>1032</v>
      </c>
      <c r="E58" s="7" t="str">
        <f aca="false">IFERROR(__xludf.dummyfunction("""COMPUTED_VALUE"""),"/nabor-iz-12-sht-klej-karandash-standart-224888-/")</f>
        <v>/nabor-iz-12-sht-klej-karandash-standart-224888-/</v>
      </c>
    </row>
    <row r="59" customFormat="false" ht="57.45" hidden="false" customHeight="false" outlineLevel="0" collapsed="false">
      <c r="A59" s="5" t="n">
        <f aca="false">IFERROR(__xludf.dummyfunction("""COMPUTED_VALUE"""),498849)</f>
        <v>498849</v>
      </c>
      <c r="B59" s="7" t="str">
        <f aca="false">IFERROR(__xludf.dummyfunction("""COMPUTED_VALUE"""),"Набор из 12 шт, Клей-карандаш BRAUBERG ""Crystal"", 25 г, прозрачный, 227968, 
PVP")</f>
        <v>Набор из 12 шт, Клей-карандаш BRAUBERG "Crystal", 25 г, прозрачный, 227968, 
PVP</v>
      </c>
      <c r="C59" s="5" t="str">
        <f aca="false">IFERROR(__xludf.dummyfunction("""COMPUTED_VALUE"""),"В наличии 635")</f>
        <v>В наличии 635</v>
      </c>
      <c r="D59" s="5" t="n">
        <f aca="false">IFERROR(__xludf.dummyfunction("""COMPUTED_VALUE"""),924)</f>
        <v>924</v>
      </c>
      <c r="E59" s="7" t="str">
        <f aca="false">IFERROR(__xludf.dummyfunction("""COMPUTED_VALUE"""),"/nabor-iz-12-sht-klej-karandash-brauberg-crystal-25-g-prozrachnyj-227968-pvp/")</f>
        <v>/nabor-iz-12-sht-klej-karandash-brauberg-crystal-25-g-prozrachnyj-227968-pvp/</v>
      </c>
    </row>
    <row r="60" customFormat="false" ht="35.05" hidden="false" customHeight="false" outlineLevel="0" collapsed="false">
      <c r="A60" s="5" t="n">
        <f aca="false">IFERROR(__xludf.dummyfunction("""COMPUTED_VALUE"""),500974)</f>
        <v>500974</v>
      </c>
      <c r="B60" s="7" t="str">
        <f aca="false">IFERROR(__xludf.dummyfunction("""COMPUTED_VALUE"""),"Набор из 12 шт, Клей-карандаш BRAUBERG (222928)")</f>
        <v>Набор из 12 шт, Клей-карандаш BRAUBERG (222928)</v>
      </c>
      <c r="C60" s="5" t="str">
        <f aca="false">IFERROR(__xludf.dummyfunction("""COMPUTED_VALUE"""),"В наличии 32013")</f>
        <v>В наличии 32013</v>
      </c>
      <c r="D60" s="5" t="n">
        <f aca="false">IFERROR(__xludf.dummyfunction("""COMPUTED_VALUE"""),1116)</f>
        <v>1116</v>
      </c>
      <c r="E60" s="7" t="str">
        <f aca="false">IFERROR(__xludf.dummyfunction("""COMPUTED_VALUE"""),"/nabor-iz-12-sht-klej-karandash-brauberg-222928-/")</f>
        <v>/nabor-iz-12-sht-klej-karandash-brauberg-222928-/</v>
      </c>
    </row>
    <row r="61" customFormat="false" ht="46.25" hidden="false" customHeight="false" outlineLevel="0" collapsed="false">
      <c r="A61" s="5" t="n">
        <f aca="false">IFERROR(__xludf.dummyfunction("""COMPUTED_VALUE"""),503791)</f>
        <v>503791</v>
      </c>
      <c r="B61" s="7" t="str">
        <f aca="false">IFERROR(__xludf.dummyfunction("""COMPUTED_VALUE"""),"Набор из 12 шт, Клей-карандаш BRAUBERG MIX, 25 г, PVP основа, 229073 
(229073)")</f>
        <v>Набор из 12 шт, Клей-карандаш BRAUBERG MIX, 25 г, PVP основа, 229073 
(229073)</v>
      </c>
      <c r="C61" s="5" t="str">
        <f aca="false">IFERROR(__xludf.dummyfunction("""COMPUTED_VALUE"""),"В наличии 2434")</f>
        <v>В наличии 2434</v>
      </c>
      <c r="D61" s="5" t="n">
        <f aca="false">IFERROR(__xludf.dummyfunction("""COMPUTED_VALUE"""),768)</f>
        <v>768</v>
      </c>
      <c r="E61" s="7" t="str">
        <f aca="false">IFERROR(__xludf.dummyfunction("""COMPUTED_VALUE"""),"/nabor-iz-12-sht-klej-karandash-brauberg-mix-25-g-pvp-osnova-229073-229073-/")</f>
        <v>/nabor-iz-12-sht-klej-karandash-brauberg-mix-25-g-pvp-osnova-229073-229073-/</v>
      </c>
    </row>
    <row r="62" customFormat="false" ht="35.05" hidden="false" customHeight="false" outlineLevel="0" collapsed="false">
      <c r="A62" s="5" t="n">
        <f aca="false">IFERROR(__xludf.dummyfunction("""COMPUTED_VALUE"""),504589)</f>
        <v>504589</v>
      </c>
      <c r="B62" s="7" t="str">
        <f aca="false">IFERROR(__xludf.dummyfunction("""COMPUTED_VALUE"""),"Набор из 12 шт, Клей-карандаш BRAUBERG SUPER, 21 г, ЮЖНАЯ КОРЕЯ, 229542")</f>
        <v>Набор из 12 шт, Клей-карандаш BRAUBERG SUPER, 21 г, ЮЖНАЯ КОРЕЯ, 229542</v>
      </c>
      <c r="C62" s="5" t="str">
        <f aca="false">IFERROR(__xludf.dummyfunction("""COMPUTED_VALUE"""),"В наличии 12113")</f>
        <v>В наличии 12113</v>
      </c>
      <c r="D62" s="5" t="n">
        <f aca="false">IFERROR(__xludf.dummyfunction("""COMPUTED_VALUE"""),720)</f>
        <v>720</v>
      </c>
      <c r="E62" s="7" t="str">
        <f aca="false">IFERROR(__xludf.dummyfunction("""COMPUTED_VALUE"""),"/nabor-iz-12-sht-klej-karandash-brauberg-super-21-g-yuzhnaya-koreya-229542/")</f>
        <v>/nabor-iz-12-sht-klej-karandash-brauberg-super-21-g-yuzhnaya-koreya-229542/</v>
      </c>
    </row>
    <row r="63" customFormat="false" ht="35.05" hidden="false" customHeight="false" outlineLevel="0" collapsed="false">
      <c r="A63" s="5" t="n">
        <f aca="false">IFERROR(__xludf.dummyfunction("""COMPUTED_VALUE"""),504590)</f>
        <v>504590</v>
      </c>
      <c r="B63" s="7" t="str">
        <f aca="false">IFERROR(__xludf.dummyfunction("""COMPUTED_VALUE"""),"Набор из 12 шт, Клей-карандаш BRAUBERG SUPER, 36 г, ЮЖНАЯ КОРЕЯ, 229543")</f>
        <v>Набор из 12 шт, Клей-карандаш BRAUBERG SUPER, 36 г, ЮЖНАЯ КОРЕЯ, 229543</v>
      </c>
      <c r="C63" s="5" t="str">
        <f aca="false">IFERROR(__xludf.dummyfunction("""COMPUTED_VALUE"""),"В наличии 9823")</f>
        <v>В наличии 9823</v>
      </c>
      <c r="D63" s="5" t="n">
        <f aca="false">IFERROR(__xludf.dummyfunction("""COMPUTED_VALUE"""),996)</f>
        <v>996</v>
      </c>
      <c r="E63" s="7" t="str">
        <f aca="false">IFERROR(__xludf.dummyfunction("""COMPUTED_VALUE"""),"/nabor-iz-12-sht-klej-karandash-brauberg-super-36-g-yuzhnaya-koreya-229543/")</f>
        <v>/nabor-iz-12-sht-klej-karandash-brauberg-super-36-g-yuzhnaya-koreya-229543/</v>
      </c>
    </row>
    <row r="64" customFormat="false" ht="57.45" hidden="false" customHeight="false" outlineLevel="0" collapsed="false">
      <c r="A64" s="5" t="n">
        <f aca="false">IFERROR(__xludf.dummyfunction("""COMPUTED_VALUE"""),504593)</f>
        <v>504593</v>
      </c>
      <c r="B64" s="7" t="str">
        <f aca="false">IFERROR(__xludf.dummyfunction("""COMPUTED_VALUE"""),"Набор из 12 шт, Клей-карандаш BRAUBERG ULTRA STRONG, УСИЛЕННАЯ ФОРМУЛА, 36 
г, ЮЖНАЯ КОРЕЯ, 229546")</f>
        <v>Набор из 12 шт, Клей-карандаш BRAUBERG ULTRA STRONG, УСИЛЕННАЯ ФОРМУЛА, 36 
г, ЮЖНАЯ КОРЕЯ, 229546</v>
      </c>
      <c r="C64" s="5" t="str">
        <f aca="false">IFERROR(__xludf.dummyfunction("""COMPUTED_VALUE"""),"В наличии 3193")</f>
        <v>В наличии 3193</v>
      </c>
      <c r="D64" s="5" t="n">
        <f aca="false">IFERROR(__xludf.dummyfunction("""COMPUTED_VALUE"""),1104)</f>
        <v>1104</v>
      </c>
      <c r="E64" s="7" t="str">
        <f aca="false">IFERROR(__xludf.dummyfunction("""COMPUTED_VALUE"""),"/nabor-iz-12-sht-klej-karandash-brauberg-ultra-strong-usilennaya-formula-36-g-yuzhnaya-koreya-229546/")</f>
        <v>/nabor-iz-12-sht-klej-karandash-brauberg-ultra-strong-usilennaya-formula-36-g-yuzhnaya-koreya-229546/</v>
      </c>
    </row>
    <row r="65" customFormat="false" ht="35.05" hidden="false" customHeight="false" outlineLevel="0" collapsed="false">
      <c r="A65" s="5" t="n">
        <f aca="false">IFERROR(__xludf.dummyfunction("""COMPUTED_VALUE"""),500904)</f>
        <v>500904</v>
      </c>
      <c r="B65" s="7" t="str">
        <f aca="false">IFERROR(__xludf.dummyfunction("""COMPUTED_VALUE"""),"Набор из 12 шт, Клей-карандаш ERICH KRAUSE (222285)")</f>
        <v>Набор из 12 шт, Клей-карандаш ERICH KRAUSE (222285)</v>
      </c>
      <c r="C65" s="5" t="str">
        <f aca="false">IFERROR(__xludf.dummyfunction("""COMPUTED_VALUE"""),"В наличии 1718")</f>
        <v>В наличии 1718</v>
      </c>
      <c r="D65" s="5" t="n">
        <f aca="false">IFERROR(__xludf.dummyfunction("""COMPUTED_VALUE"""),1680)</f>
        <v>1680</v>
      </c>
      <c r="E65" s="7" t="str">
        <f aca="false">IFERROR(__xludf.dummyfunction("""COMPUTED_VALUE"""),"/nabor-iz-12-sht-klej-karandash-erich-krause-222285-/")</f>
        <v>/nabor-iz-12-sht-klej-karandash-erich-krause-222285-/</v>
      </c>
    </row>
    <row r="66" customFormat="false" ht="23.85" hidden="false" customHeight="false" outlineLevel="0" collapsed="false">
      <c r="A66" s="5" t="n">
        <f aca="false">IFERROR(__xludf.dummyfunction("""COMPUTED_VALUE"""),501200)</f>
        <v>501200</v>
      </c>
      <c r="B66" s="7" t="str">
        <f aca="false">IFERROR(__xludf.dummyfunction("""COMPUTED_VALUE"""),"Набор из 12 шт, Клей-карандаш ОФИСМАГ (225966)")</f>
        <v>Набор из 12 шт, Клей-карандаш ОФИСМАГ (225966)</v>
      </c>
      <c r="C66" s="5" t="str">
        <f aca="false">IFERROR(__xludf.dummyfunction("""COMPUTED_VALUE"""),"В наличии 2878")</f>
        <v>В наличии 2878</v>
      </c>
      <c r="D66" s="5" t="n">
        <f aca="false">IFERROR(__xludf.dummyfunction("""COMPUTED_VALUE"""),1080)</f>
        <v>1080</v>
      </c>
      <c r="E66" s="7" t="str">
        <f aca="false">IFERROR(__xludf.dummyfunction("""COMPUTED_VALUE"""),"/nabor-iz-12-sht-klej-karandash-ofismag-225966-/")</f>
        <v>/nabor-iz-12-sht-klej-karandash-ofismag-225966-/</v>
      </c>
    </row>
    <row r="67" customFormat="false" ht="46.25" hidden="false" customHeight="false" outlineLevel="0" collapsed="false">
      <c r="A67" s="5" t="n">
        <f aca="false">IFERROR(__xludf.dummyfunction("""COMPUTED_VALUE"""),501414)</f>
        <v>501414</v>
      </c>
      <c r="B67" s="7" t="str">
        <f aca="false">IFERROR(__xludf.dummyfunction("""COMPUTED_VALUE"""),"Набор из 12 шт, Клей-карандаш ЮНЛАНДИЯ ""ЮНЛАНДИК И БОЖЬЯ КОРОВКА"" (227612)")</f>
        <v>Набор из 12 шт, Клей-карандаш ЮНЛАНДИЯ "ЮНЛАНДИК И БОЖЬЯ КОРОВКА" (227612)</v>
      </c>
      <c r="C67" s="5" t="str">
        <f aca="false">IFERROR(__xludf.dummyfunction("""COMPUTED_VALUE"""),"В наличии 7148")</f>
        <v>В наличии 7148</v>
      </c>
      <c r="D67" s="5" t="n">
        <f aca="false">IFERROR(__xludf.dummyfunction("""COMPUTED_VALUE"""),504)</f>
        <v>504</v>
      </c>
      <c r="E67" s="7" t="str">
        <f aca="false">IFERROR(__xludf.dummyfunction("""COMPUTED_VALUE"""),"/nabor-iz-12-sht-klej-karandash-yunlandiya-yunlandik-i-bozhya-korovka-227612-/")</f>
        <v>/nabor-iz-12-sht-klej-karandash-yunlandiya-yunlandik-i-bozhya-korovka-227612-/</v>
      </c>
    </row>
    <row r="68" customFormat="false" ht="23.85" hidden="false" customHeight="false" outlineLevel="0" collapsed="false">
      <c r="A68" s="5" t="n">
        <f aca="false">IFERROR(__xludf.dummyfunction("""COMPUTED_VALUE"""),500905)</f>
        <v>500905</v>
      </c>
      <c r="B68" s="7" t="str">
        <f aca="false">IFERROR(__xludf.dummyfunction("""COMPUTED_VALUE"""),"Набор из 12 шт, Клей-роллер ERICH KRAUSE (222288)")</f>
        <v>Набор из 12 шт, Клей-роллер ERICH KRAUSE (222288)</v>
      </c>
      <c r="C68" s="5" t="str">
        <f aca="false">IFERROR(__xludf.dummyfunction("""COMPUTED_VALUE"""),"В наличии 6")</f>
        <v>В наличии 6</v>
      </c>
      <c r="D68" s="5" t="n">
        <f aca="false">IFERROR(__xludf.dummyfunction("""COMPUTED_VALUE"""),348)</f>
        <v>348</v>
      </c>
      <c r="E68" s="7" t="str">
        <f aca="false">IFERROR(__xludf.dummyfunction("""COMPUTED_VALUE"""),"/nabor-iz-12-sht-klej-roller-erich-krause-222288-/")</f>
        <v>/nabor-iz-12-sht-klej-roller-erich-krause-222288-/</v>
      </c>
    </row>
    <row r="69" customFormat="false" ht="35.05" hidden="false" customHeight="false" outlineLevel="0" collapsed="false">
      <c r="A69" s="5" t="n">
        <f aca="false">IFERROR(__xludf.dummyfunction("""COMPUTED_VALUE"""),500842)</f>
        <v>500842</v>
      </c>
      <c r="B69" s="7" t="str">
        <f aca="false">IFERROR(__xludf.dummyfunction("""COMPUTED_VALUE"""),"Набор из 12 шт, Клейкие ленты 12 мм х 33 м канцелярские BRAUBERG (221694)")</f>
        <v>Набор из 12 шт, Клейкие ленты 12 мм х 33 м канцелярские BRAUBERG (221694)</v>
      </c>
      <c r="C69" s="5" t="str">
        <f aca="false">IFERROR(__xludf.dummyfunction("""COMPUTED_VALUE"""),"В наличии 292")</f>
        <v>В наличии 292</v>
      </c>
      <c r="D69" s="5" t="n">
        <f aca="false">IFERROR(__xludf.dummyfunction("""COMPUTED_VALUE"""),648)</f>
        <v>648</v>
      </c>
      <c r="E69" s="7" t="str">
        <f aca="false">IFERROR(__xludf.dummyfunction("""COMPUTED_VALUE"""),"/nabor-iz-12-sht-klejkie-lenty-12-mm-h-33-m-kancelyarskie-brauberg-221694-/")</f>
        <v>/nabor-iz-12-sht-klejkie-lenty-12-mm-h-33-m-kancelyarskie-brauberg-221694-/</v>
      </c>
    </row>
    <row r="70" customFormat="false" ht="57.45" hidden="false" customHeight="false" outlineLevel="0" collapsed="false">
      <c r="A70" s="5" t="n">
        <f aca="false">IFERROR(__xludf.dummyfunction("""COMPUTED_VALUE"""),504577)</f>
        <v>504577</v>
      </c>
      <c r="B70" s="7" t="str">
        <f aca="false">IFERROR(__xludf.dummyfunction("""COMPUTED_VALUE"""),"Набор из 12 шт, Клейкие ленты 12 мм х 33 м канцелярские BRAUBERG, КОМПЛЕКТ 
4 шт., прозрачные, гарантированная длина, 228761")</f>
        <v>Набор из 12 шт, Клейкие ленты 12 мм х 33 м канцелярские BRAUBERG, КОМПЛЕКТ 
4 шт., прозрачные, гарантированная длина, 228761</v>
      </c>
      <c r="C70" s="5" t="str">
        <f aca="false">IFERROR(__xludf.dummyfunction("""COMPUTED_VALUE"""),"В наличии 9866")</f>
        <v>В наличии 9866</v>
      </c>
      <c r="D70" s="5" t="n">
        <f aca="false">IFERROR(__xludf.dummyfunction("""COMPUTED_VALUE"""),684)</f>
        <v>684</v>
      </c>
      <c r="E70" s="7" t="str">
        <f aca="false">IFERROR(__xludf.dummyfunction("""COMPUTED_VALUE"""),"/nabor-iz-12-sht-klejkie-lenty-12-mm-h-33-m-kancelyarskie-brauberg-komplekt-4-sht-prozrachnye-garantirovannaya-dlina-228761/")</f>
        <v>/nabor-iz-12-sht-klejkie-lenty-12-mm-h-33-m-kancelyarskie-brauberg-komplekt-4-sht-prozrachnye-garantirovannaya-dlina-228761/</v>
      </c>
    </row>
    <row r="71" customFormat="false" ht="35.05" hidden="false" customHeight="false" outlineLevel="0" collapsed="false">
      <c r="A71" s="5" t="n">
        <f aca="false">IFERROR(__xludf.dummyfunction("""COMPUTED_VALUE"""),501311)</f>
        <v>501311</v>
      </c>
      <c r="B71" s="7" t="str">
        <f aca="false">IFERROR(__xludf.dummyfunction("""COMPUTED_VALUE"""),"Набор из 12 шт, Клейкие ленты 15 мм х 10 м канцелярские BRAUBERG (227258)")</f>
        <v>Набор из 12 шт, Клейкие ленты 15 мм х 10 м канцелярские BRAUBERG (227258)</v>
      </c>
      <c r="C71" s="5" t="str">
        <f aca="false">IFERROR(__xludf.dummyfunction("""COMPUTED_VALUE"""),"В наличии 187")</f>
        <v>В наличии 187</v>
      </c>
      <c r="D71" s="5" t="n">
        <f aca="false">IFERROR(__xludf.dummyfunction("""COMPUTED_VALUE"""),1188)</f>
        <v>1188</v>
      </c>
      <c r="E71" s="7" t="str">
        <f aca="false">IFERROR(__xludf.dummyfunction("""COMPUTED_VALUE"""),"/nabor-iz-12-sht-klejkie-lenty-15-mm-h-10-m-kancelyarskie-brauberg-227258-/")</f>
        <v>/nabor-iz-12-sht-klejkie-lenty-15-mm-h-10-m-kancelyarskie-brauberg-227258-/</v>
      </c>
    </row>
    <row r="72" customFormat="false" ht="57.45" hidden="false" customHeight="false" outlineLevel="0" collapsed="false">
      <c r="A72" s="5" t="n">
        <f aca="false">IFERROR(__xludf.dummyfunction("""COMPUTED_VALUE"""),504578)</f>
        <v>504578</v>
      </c>
      <c r="B72" s="7" t="str">
        <f aca="false">IFERROR(__xludf.dummyfunction("""COMPUTED_VALUE"""),"Набор из 12 шт, Клейкие ленты 19 мм х 33 м канцелярские BRAUBERG, КОМПЛЕКТ 
4 шт., прозрачные, гарантированная длина, 228762")</f>
        <v>Набор из 12 шт, Клейкие ленты 19 мм х 33 м канцелярские BRAUBERG, КОМПЛЕКТ 
4 шт., прозрачные, гарантированная длина, 228762</v>
      </c>
      <c r="C72" s="5" t="str">
        <f aca="false">IFERROR(__xludf.dummyfunction("""COMPUTED_VALUE"""),"В наличии 8800")</f>
        <v>В наличии 8800</v>
      </c>
      <c r="D72" s="5" t="n">
        <f aca="false">IFERROR(__xludf.dummyfunction("""COMPUTED_VALUE"""),864)</f>
        <v>864</v>
      </c>
      <c r="E72" s="7" t="str">
        <f aca="false">IFERROR(__xludf.dummyfunction("""COMPUTED_VALUE"""),"/nabor-iz-12-sht-klejkie-lenty-19-mm-h-33-m-kancelyarskie-brauberg-komplekt-4-sht-prozrachnye-garantirovannaya-dlina-228762/")</f>
        <v>/nabor-iz-12-sht-klejkie-lenty-19-mm-h-33-m-kancelyarskie-brauberg-komplekt-4-sht-prozrachnye-garantirovannaya-dlina-228762/</v>
      </c>
    </row>
    <row r="73" customFormat="false" ht="57.45" hidden="false" customHeight="false" outlineLevel="0" collapsed="false">
      <c r="A73" s="5" t="n">
        <f aca="false">IFERROR(__xludf.dummyfunction("""COMPUTED_VALUE"""),507544)</f>
        <v>507544</v>
      </c>
      <c r="B73" s="7" t="str">
        <f aca="false">IFERROR(__xludf.dummyfunction("""COMPUTED_VALUE"""),"Набор из 12 шт, Клейкие ленты 19 мм х 33 м канцелярские STAFF CLASSIC, 
КОМПЛЕКТ 4 шт., прозрачные, 271262 (271262)")</f>
        <v>Набор из 12 шт, Клейкие ленты 19 мм х 33 м канцелярские STAFF CLASSIC, 
КОМПЛЕКТ 4 шт., прозрачные, 271262 (271262)</v>
      </c>
      <c r="C73" s="5" t="str">
        <f aca="false">IFERROR(__xludf.dummyfunction("""COMPUTED_VALUE"""),"В наличии 56")</f>
        <v>В наличии 56</v>
      </c>
      <c r="D73" s="5" t="n">
        <f aca="false">IFERROR(__xludf.dummyfunction("""COMPUTED_VALUE"""),852)</f>
        <v>852</v>
      </c>
      <c r="E73" s="7" t="str">
        <f aca="false">IFERROR(__xludf.dummyfunction("""COMPUTED_VALUE"""),"/nabor-iz-12-sht-klejkie-lenty-19-mm-h-33-m-kancelyarskie-staff-classic-komplekt-4-sht-prozrachnye-271262-271262-/")</f>
        <v>/nabor-iz-12-sht-klejkie-lenty-19-mm-h-33-m-kancelyarskie-staff-classic-komplekt-4-sht-prozrachnye-271262-271262-/</v>
      </c>
    </row>
    <row r="74" customFormat="false" ht="35.05" hidden="false" customHeight="false" outlineLevel="0" collapsed="false">
      <c r="A74" s="5" t="n">
        <f aca="false">IFERROR(__xludf.dummyfunction("IMPORTXML(getIdItems(""https://www.lustrof.ru/category/ofis/kanctovary/kantselyarskie-melochi/?page="",3),""//span[@class='products__item-info-code-v']"")"),502084)</f>
        <v>502084</v>
      </c>
      <c r="B74" s="7" t="str">
        <f aca="false">IFERROR(__xludf.dummyfunction("IMPORTXML(getIdItems(""https://www.lustrof.ru/category/ofis/kanctovary/kantselyarskie-melochi/?page="",3),""//span[@class='products__item-info-name']"")"),"Набор из 12 шт, Лупа просмотровая BRAUBERG (451797)")</f>
        <v>Набор из 12 шт, Лупа просмотровая BRAUBERG (451797)</v>
      </c>
      <c r="C74" s="5" t="str">
        <f aca="false">IFERROR(__xludf.dummyfunction("IMPORTXML(getIdItems(""https://www.lustrof.ru/category/ofis/kanctovary/kantselyarskie-melochi/?page="",3),""//span[@class='products__available-in-stock']"")"),"В наличии 2")</f>
        <v>В наличии 2</v>
      </c>
      <c r="D74" s="5" t="n">
        <f aca="false">IFERROR(__xludf.dummyfunction("IMPORTXML(getIdItems(""https://www.lustrof.ru/category/ofis/kanctovary/kantselyarskie-melochi/?page="",3),""//span[@class='products__price-new']/text()"")"),888)</f>
        <v>888</v>
      </c>
      <c r="E74" s="5" t="str">
        <f aca="false">IFERROR(__xludf.dummyfunction("IMPORTXML(getIdItems(""https://www.lustrof.ru/category/ofis/kanctovary/kantselyarskie-melochi/?page="",3),""//div[@class='products__item']/a/@href"")"),"/nabor-iz-12-sht-lupa-prosmotrovaya-brauberg-451797-/")</f>
        <v>/nabor-iz-12-sht-lupa-prosmotrovaya-brauberg-451797-/</v>
      </c>
    </row>
    <row r="75" customFormat="false" ht="23.85" hidden="false" customHeight="false" outlineLevel="0" collapsed="false">
      <c r="A75" s="5" t="n">
        <f aca="false">IFERROR(__xludf.dummyfunction("""COMPUTED_VALUE"""),497657)</f>
        <v>497657</v>
      </c>
      <c r="B75" s="7" t="str">
        <f aca="false">IFERROR(__xludf.dummyfunction("""COMPUTED_VALUE"""),"Набор из 12 шт, Скрепки ERICH KRAUSE (222325)")</f>
        <v>Набор из 12 шт, Скрепки ERICH KRAUSE (222325)</v>
      </c>
      <c r="C75" s="5" t="str">
        <f aca="false">IFERROR(__xludf.dummyfunction("""COMPUTED_VALUE"""),"В наличии 172")</f>
        <v>В наличии 172</v>
      </c>
      <c r="D75" s="5" t="n">
        <f aca="false">IFERROR(__xludf.dummyfunction("""COMPUTED_VALUE"""),672)</f>
        <v>672</v>
      </c>
      <c r="E75" s="7" t="str">
        <f aca="false">IFERROR(__xludf.dummyfunction("""COMPUTED_VALUE"""),"/nabor-iz-12-sht-skrepki-erich-krause-222325-/")</f>
        <v>/nabor-iz-12-sht-skrepki-erich-krause-222325-/</v>
      </c>
    </row>
    <row r="76" customFormat="false" ht="23.85" hidden="false" customHeight="false" outlineLevel="0" collapsed="false">
      <c r="A76" s="5" t="n">
        <f aca="false">IFERROR(__xludf.dummyfunction("""COMPUTED_VALUE"""),497613)</f>
        <v>497613</v>
      </c>
      <c r="B76" s="7" t="str">
        <f aca="false">IFERROR(__xludf.dummyfunction("""COMPUTED_VALUE"""),"Набор из 12 шт, Скрепки большие 50 мм (221525)")</f>
        <v>Набор из 12 шт, Скрепки большие 50 мм (221525)</v>
      </c>
      <c r="C76" s="5" t="str">
        <f aca="false">IFERROR(__xludf.dummyfunction("""COMPUTED_VALUE"""),"В наличии 2033")</f>
        <v>В наличии 2033</v>
      </c>
      <c r="D76" s="5" t="n">
        <f aca="false">IFERROR(__xludf.dummyfunction("""COMPUTED_VALUE"""),1548)</f>
        <v>1548</v>
      </c>
      <c r="E76" s="7" t="str">
        <f aca="false">IFERROR(__xludf.dummyfunction("""COMPUTED_VALUE"""),"/nabor-iz-12-sht-skrepki-bolshie-50-mm-221525-/")</f>
        <v>/nabor-iz-12-sht-skrepki-bolshie-50-mm-221525-/</v>
      </c>
    </row>
    <row r="77" customFormat="false" ht="23.85" hidden="false" customHeight="false" outlineLevel="0" collapsed="false">
      <c r="A77" s="5" t="n">
        <f aca="false">IFERROR(__xludf.dummyfunction("""COMPUTED_VALUE"""),497854)</f>
        <v>497854</v>
      </c>
      <c r="B77" s="7" t="str">
        <f aca="false">IFERROR(__xludf.dummyfunction("""COMPUTED_VALUE"""),"Набор из 12 шт, Скрепки большие 75 мм (226826)")</f>
        <v>Набор из 12 шт, Скрепки большие 75 мм (226826)</v>
      </c>
      <c r="C77" s="5" t="str">
        <f aca="false">IFERROR(__xludf.dummyfunction("""COMPUTED_VALUE"""),"В наличии 508")</f>
        <v>В наличии 508</v>
      </c>
      <c r="D77" s="5" t="n">
        <f aca="false">IFERROR(__xludf.dummyfunction("""COMPUTED_VALUE"""),1512)</f>
        <v>1512</v>
      </c>
      <c r="E77" s="7" t="str">
        <f aca="false">IFERROR(__xludf.dummyfunction("""COMPUTED_VALUE"""),"/nabor-iz-12-sht-skrepki-bolshie-75-mm-226826-/")</f>
        <v>/nabor-iz-12-sht-skrepki-bolshie-75-mm-226826-/</v>
      </c>
    </row>
    <row r="78" customFormat="false" ht="35.05" hidden="false" customHeight="false" outlineLevel="0" collapsed="false">
      <c r="A78" s="5" t="n">
        <f aca="false">IFERROR(__xludf.dummyfunction("""COMPUTED_VALUE"""),500984)</f>
        <v>500984</v>
      </c>
      <c r="B78" s="7" t="str">
        <f aca="false">IFERROR(__xludf.dummyfunction("""COMPUTED_VALUE"""),"Набор из 15 шт, Клейкие ленты 19 мм х 33 м канцелярские ОФИСМАГ (223127)")</f>
        <v>Набор из 15 шт, Клейкие ленты 19 мм х 33 м канцелярские ОФИСМАГ (223127)</v>
      </c>
      <c r="C78" s="5" t="str">
        <f aca="false">IFERROR(__xludf.dummyfunction("""COMPUTED_VALUE"""),"В наличии 1757")</f>
        <v>В наличии 1757</v>
      </c>
      <c r="D78" s="5" t="n">
        <f aca="false">IFERROR(__xludf.dummyfunction("""COMPUTED_VALUE"""),1065)</f>
        <v>1065</v>
      </c>
      <c r="E78" s="7" t="str">
        <f aca="false">IFERROR(__xludf.dummyfunction("""COMPUTED_VALUE"""),"/nabor-iz-15-sht-klejkie-lenty-19-mm-h-33-m-kancelyarskie-ofismag-223127-/")</f>
        <v>/nabor-iz-15-sht-klejkie-lenty-19-mm-h-33-m-kancelyarskie-ofismag-223127-/</v>
      </c>
    </row>
    <row r="79" customFormat="false" ht="23.85" hidden="false" customHeight="false" outlineLevel="0" collapsed="false">
      <c r="A79" s="5" t="n">
        <f aca="false">IFERROR(__xludf.dummyfunction("""COMPUTED_VALUE"""),497738)</f>
        <v>497738</v>
      </c>
      <c r="B79" s="7" t="str">
        <f aca="false">IFERROR(__xludf.dummyfunction("""COMPUTED_VALUE"""),"Набор из 15 шт, Скрепки (224971)")</f>
        <v>Набор из 15 шт, Скрепки (224971)</v>
      </c>
      <c r="C79" s="5" t="str">
        <f aca="false">IFERROR(__xludf.dummyfunction("""COMPUTED_VALUE"""),"В наличии 379")</f>
        <v>В наличии 379</v>
      </c>
      <c r="D79" s="5" t="n">
        <f aca="false">IFERROR(__xludf.dummyfunction("""COMPUTED_VALUE"""),765)</f>
        <v>765</v>
      </c>
      <c r="E79" s="7" t="str">
        <f aca="false">IFERROR(__xludf.dummyfunction("""COMPUTED_VALUE"""),"/nabor-iz-15-sht-skrepki-224971-/")</f>
        <v>/nabor-iz-15-sht-skrepki-224971-/</v>
      </c>
    </row>
    <row r="80" customFormat="false" ht="23.85" hidden="false" customHeight="false" outlineLevel="0" collapsed="false">
      <c r="A80" s="5" t="n">
        <f aca="false">IFERROR(__xludf.dummyfunction("""COMPUTED_VALUE"""),500774)</f>
        <v>500774</v>
      </c>
      <c r="B80" s="7" t="str">
        <f aca="false">IFERROR(__xludf.dummyfunction("""COMPUTED_VALUE"""),"Набор из 2 шт, Зажимы для бумаг BRAUBERG (221130)")</f>
        <v>Набор из 2 шт, Зажимы для бумаг BRAUBERG (221130)</v>
      </c>
      <c r="C80" s="5" t="str">
        <f aca="false">IFERROR(__xludf.dummyfunction("""COMPUTED_VALUE"""),"В наличии 1")</f>
        <v>В наличии 1</v>
      </c>
      <c r="D80" s="5" t="n">
        <f aca="false">IFERROR(__xludf.dummyfunction("""COMPUTED_VALUE"""),818)</f>
        <v>818</v>
      </c>
      <c r="E80" s="7" t="str">
        <f aca="false">IFERROR(__xludf.dummyfunction("""COMPUTED_VALUE"""),"/nabor-iz-2-sht-zazhimy-dlya-bumag-brauberg-221130-/")</f>
        <v>/nabor-iz-2-sht-zazhimy-dlya-bumag-brauberg-221130-/</v>
      </c>
    </row>
    <row r="81" customFormat="false" ht="23.85" hidden="false" customHeight="false" outlineLevel="0" collapsed="false">
      <c r="A81" s="5" t="n">
        <f aca="false">IFERROR(__xludf.dummyfunction("""COMPUTED_VALUE"""),497709)</f>
        <v>497709</v>
      </c>
      <c r="B81" s="7" t="str">
        <f aca="false">IFERROR(__xludf.dummyfunction("""COMPUTED_VALUE"""),"Набор из 2 шт, Зажимы для бумаг BRAUBERG (224473)")</f>
        <v>Набор из 2 шт, Зажимы для бумаг BRAUBERG (224473)</v>
      </c>
      <c r="C81" s="5" t="str">
        <f aca="false">IFERROR(__xludf.dummyfunction("""COMPUTED_VALUE"""),"В наличии 2246")</f>
        <v>В наличии 2246</v>
      </c>
      <c r="D81" s="5" t="n">
        <f aca="false">IFERROR(__xludf.dummyfunction("""COMPUTED_VALUE"""),576)</f>
        <v>576</v>
      </c>
      <c r="E81" s="7" t="str">
        <f aca="false">IFERROR(__xludf.dummyfunction("""COMPUTED_VALUE"""),"/nabor-iz-2-sht-zazhimy-dlya-bumag-brauberg-224473-/")</f>
        <v>/nabor-iz-2-sht-zazhimy-dlya-bumag-brauberg-224473-/</v>
      </c>
    </row>
    <row r="82" customFormat="false" ht="23.85" hidden="false" customHeight="false" outlineLevel="0" collapsed="false">
      <c r="A82" s="5" t="n">
        <f aca="false">IFERROR(__xludf.dummyfunction("""COMPUTED_VALUE"""),497710)</f>
        <v>497710</v>
      </c>
      <c r="B82" s="7" t="str">
        <f aca="false">IFERROR(__xludf.dummyfunction("""COMPUTED_VALUE"""),"Набор из 2 шт, Зажимы для бумаг BRAUBERG (224474)")</f>
        <v>Набор из 2 шт, Зажимы для бумаг BRAUBERG (224474)</v>
      </c>
      <c r="C82" s="5" t="str">
        <f aca="false">IFERROR(__xludf.dummyfunction("""COMPUTED_VALUE"""),"В наличии 3721")</f>
        <v>В наличии 3721</v>
      </c>
      <c r="D82" s="5" t="n">
        <f aca="false">IFERROR(__xludf.dummyfunction("""COMPUTED_VALUE"""),722)</f>
        <v>722</v>
      </c>
      <c r="E82" s="7" t="str">
        <f aca="false">IFERROR(__xludf.dummyfunction("""COMPUTED_VALUE"""),"/nabor-iz-2-sht-zazhimy-dlya-bumag-brauberg-224474-/")</f>
        <v>/nabor-iz-2-sht-zazhimy-dlya-bumag-brauberg-224474-/</v>
      </c>
    </row>
    <row r="83" customFormat="false" ht="68.65" hidden="false" customHeight="false" outlineLevel="0" collapsed="false">
      <c r="A83" s="5" t="n">
        <f aca="false">IFERROR(__xludf.dummyfunction("""COMPUTED_VALUE"""),500993)</f>
        <v>500993</v>
      </c>
      <c r="B83" s="7" t="str">
        <f aca="false">IFERROR(__xludf.dummyfunction("""COMPUTED_VALUE"""),"Набор из 2 шт, Зажимы для бумаг BRAUBERG, КОМПЛЕКТ 40 шт., 19 мм, на 60 
листов, цвет металлик, пластиковый цилиндр (223504)")</f>
        <v>Набор из 2 шт, Зажимы для бумаг BRAUBERG, КОМПЛЕКТ 40 шт., 19 мм, на 60 
листов, цвет металлик, пластиковый цилиндр (223504)</v>
      </c>
      <c r="C83" s="5" t="str">
        <f aca="false">IFERROR(__xludf.dummyfunction("""COMPUTED_VALUE"""),"В наличии 2132")</f>
        <v>В наличии 2132</v>
      </c>
      <c r="D83" s="5" t="n">
        <f aca="false">IFERROR(__xludf.dummyfunction("""COMPUTED_VALUE"""),642)</f>
        <v>642</v>
      </c>
      <c r="E83" s="7" t="str">
        <f aca="false">IFERROR(__xludf.dummyfunction("""COMPUTED_VALUE"""),"/nabor-iz-2-sht-zazhimy-dlya-bumag-brauberg-komplekt-40-sht-19-mm-na-60-listov-cvet-metallik-plastikovyj-cilindr-223504-/")</f>
        <v>/nabor-iz-2-sht-zazhimy-dlya-bumag-brauberg-komplekt-40-sht-19-mm-na-60-listov-cvet-metallik-plastikovyj-cilindr-223504-/</v>
      </c>
    </row>
    <row r="84" customFormat="false" ht="68.65" hidden="false" customHeight="false" outlineLevel="0" collapsed="false">
      <c r="A84" s="5" t="n">
        <f aca="false">IFERROR(__xludf.dummyfunction("""COMPUTED_VALUE"""),500773)</f>
        <v>500773</v>
      </c>
      <c r="B84" s="7" t="str">
        <f aca="false">IFERROR(__xludf.dummyfunction("""COMPUTED_VALUE"""),"Набор из 2 шт, Зажимы для бумаг BRAUBERG, КОМПЛЕКТ 40 шт., 19 мм, на 60 
листов, цветные, в пластиковом цилиндре (221127)")</f>
        <v>Набор из 2 шт, Зажимы для бумаг BRAUBERG, КОМПЛЕКТ 40 шт., 19 мм, на 60 
листов, цветные, в пластиковом цилиндре (221127)</v>
      </c>
      <c r="C84" s="5" t="str">
        <f aca="false">IFERROR(__xludf.dummyfunction("""COMPUTED_VALUE"""),"В наличии 866")</f>
        <v>В наличии 866</v>
      </c>
      <c r="D84" s="5" t="n">
        <f aca="false">IFERROR(__xludf.dummyfunction("""COMPUTED_VALUE"""),578)</f>
        <v>578</v>
      </c>
      <c r="E84" s="7" t="str">
        <f aca="false">IFERROR(__xludf.dummyfunction("""COMPUTED_VALUE"""),"/nabor-iz-2-sht-zazhimy-dlya-bumag-brauberg-komplekt-40-sht-19-mm-na-60-listov-cvetnye-v-plastikovom-cilindre-221127-/")</f>
        <v>/nabor-iz-2-sht-zazhimy-dlya-bumag-brauberg-komplekt-40-sht-19-mm-na-60-listov-cvetnye-v-plastikovom-cilindre-221127-/</v>
      </c>
    </row>
    <row r="85" customFormat="false" ht="35.05" hidden="false" customHeight="false" outlineLevel="0" collapsed="false">
      <c r="A85" s="5" t="n">
        <f aca="false">IFERROR(__xludf.dummyfunction("""COMPUTED_VALUE"""),497560)</f>
        <v>497560</v>
      </c>
      <c r="B85" s="7" t="str">
        <f aca="false">IFERROR(__xludf.dummyfunction("""COMPUTED_VALUE"""),"Набор из 2 шт, Зажимы для бумаг большие BRAUBERG (220561)")</f>
        <v>Набор из 2 шт, Зажимы для бумаг большие BRAUBERG (220561)</v>
      </c>
      <c r="C85" s="5" t="str">
        <f aca="false">IFERROR(__xludf.dummyfunction("""COMPUTED_VALUE"""),"В наличии 12401")</f>
        <v>В наличии 12401</v>
      </c>
      <c r="D85" s="5" t="n">
        <f aca="false">IFERROR(__xludf.dummyfunction("""COMPUTED_VALUE"""),560)</f>
        <v>560</v>
      </c>
      <c r="E85" s="7" t="str">
        <f aca="false">IFERROR(__xludf.dummyfunction("""COMPUTED_VALUE"""),"/nabor-iz-2-sht-zazhimy-dlya-bumag-bolshie-brauberg-220561-/")</f>
        <v>/nabor-iz-2-sht-zazhimy-dlya-bumag-bolshie-brauberg-220561-/</v>
      </c>
    </row>
    <row r="86" customFormat="false" ht="23.85" hidden="false" customHeight="false" outlineLevel="0" collapsed="false">
      <c r="A86" s="5" t="n">
        <f aca="false">IFERROR(__xludf.dummyfunction("""COMPUTED_VALUE"""),500895)</f>
        <v>500895</v>
      </c>
      <c r="B86" s="7" t="str">
        <f aca="false">IFERROR(__xludf.dummyfunction("""COMPUTED_VALUE"""),"Набор из 2 шт, Зажимы для бумаг ОФИСМАГ (222091)")</f>
        <v>Набор из 2 шт, Зажимы для бумаг ОФИСМАГ (222091)</v>
      </c>
      <c r="C86" s="5" t="str">
        <f aca="false">IFERROR(__xludf.dummyfunction("""COMPUTED_VALUE"""),"В наличии 2")</f>
        <v>В наличии 2</v>
      </c>
      <c r="D86" s="5" t="n">
        <f aca="false">IFERROR(__xludf.dummyfunction("""COMPUTED_VALUE"""),1122)</f>
        <v>1122</v>
      </c>
      <c r="E86" s="7" t="str">
        <f aca="false">IFERROR(__xludf.dummyfunction("""COMPUTED_VALUE"""),"/nabor-iz-2-sht-zazhimy-dlya-bumag-ofismag-222091-/")</f>
        <v>/nabor-iz-2-sht-zazhimy-dlya-bumag-ofismag-222091-/</v>
      </c>
    </row>
    <row r="87" customFormat="false" ht="23.85" hidden="false" customHeight="false" outlineLevel="0" collapsed="false">
      <c r="A87" s="5" t="n">
        <f aca="false">IFERROR(__xludf.dummyfunction("""COMPUTED_VALUE"""),501252)</f>
        <v>501252</v>
      </c>
      <c r="B87" s="7" t="str">
        <f aca="false">IFERROR(__xludf.dummyfunction("""COMPUTED_VALUE"""),"Набор из 2 шт, Зажимы для бумаг ОФИСМАГ (226766)")</f>
        <v>Набор из 2 шт, Зажимы для бумаг ОФИСМАГ (226766)</v>
      </c>
      <c r="C87" s="5" t="str">
        <f aca="false">IFERROR(__xludf.dummyfunction("""COMPUTED_VALUE"""),"В наличии 1719")</f>
        <v>В наличии 1719</v>
      </c>
      <c r="D87" s="5" t="n">
        <f aca="false">IFERROR(__xludf.dummyfunction("""COMPUTED_VALUE"""),558)</f>
        <v>558</v>
      </c>
      <c r="E87" s="7" t="str">
        <f aca="false">IFERROR(__xludf.dummyfunction("""COMPUTED_VALUE"""),"/nabor-iz-2-sht-zazhimy-dlya-bumag-ofismag-226766-/")</f>
        <v>/nabor-iz-2-sht-zazhimy-dlya-bumag-ofismag-226766-/</v>
      </c>
    </row>
    <row r="88" customFormat="false" ht="23.85" hidden="false" customHeight="false" outlineLevel="0" collapsed="false">
      <c r="A88" s="5" t="n">
        <f aca="false">IFERROR(__xludf.dummyfunction("""COMPUTED_VALUE"""),501254)</f>
        <v>501254</v>
      </c>
      <c r="B88" s="7" t="str">
        <f aca="false">IFERROR(__xludf.dummyfunction("""COMPUTED_VALUE"""),"Набор из 2 шт, Зажимы для бумаг ОФИСМАГ (226768)")</f>
        <v>Набор из 2 шт, Зажимы для бумаг ОФИСМАГ (226768)</v>
      </c>
      <c r="C88" s="5" t="str">
        <f aca="false">IFERROR(__xludf.dummyfunction("""COMPUTED_VALUE"""),"В наличии 1685")</f>
        <v>В наличии 1685</v>
      </c>
      <c r="D88" s="5" t="n">
        <f aca="false">IFERROR(__xludf.dummyfunction("""COMPUTED_VALUE"""),714)</f>
        <v>714</v>
      </c>
      <c r="E88" s="7" t="str">
        <f aca="false">IFERROR(__xludf.dummyfunction("""COMPUTED_VALUE"""),"/nabor-iz-2-sht-zazhimy-dlya-bumag-ofismag-226768-/")</f>
        <v>/nabor-iz-2-sht-zazhimy-dlya-bumag-ofismag-226768-/</v>
      </c>
    </row>
    <row r="89" customFormat="false" ht="35.05" hidden="false" customHeight="false" outlineLevel="0" collapsed="false">
      <c r="A89" s="5" t="n">
        <f aca="false">IFERROR(__xludf.dummyfunction("""COMPUTED_VALUE"""),500883)</f>
        <v>500883</v>
      </c>
      <c r="B89" s="7" t="str">
        <f aca="false">IFERROR(__xludf.dummyfunction("""COMPUTED_VALUE"""),"Набор из 2 шт, Зажимы для бумаг ОФИСНАЯ ПЛАНЕТА (222002)")</f>
        <v>Набор из 2 шт, Зажимы для бумаг ОФИСНАЯ ПЛАНЕТА (222002)</v>
      </c>
      <c r="C89" s="5" t="str">
        <f aca="false">IFERROR(__xludf.dummyfunction("""COMPUTED_VALUE"""),"В наличии 1423")</f>
        <v>В наличии 1423</v>
      </c>
      <c r="D89" s="5" t="n">
        <f aca="false">IFERROR(__xludf.dummyfunction("""COMPUTED_VALUE"""),560)</f>
        <v>560</v>
      </c>
      <c r="E89" s="7" t="str">
        <f aca="false">IFERROR(__xludf.dummyfunction("""COMPUTED_VALUE"""),"/nabor-iz-2-sht-zazhimy-dlya-bumag-ofisnaya-planeta-222002-/")</f>
        <v>/nabor-iz-2-sht-zazhimy-dlya-bumag-ofisnaya-planeta-222002-/</v>
      </c>
    </row>
    <row r="90" customFormat="false" ht="35.05" hidden="false" customHeight="false" outlineLevel="0" collapsed="false">
      <c r="A90" s="5" t="n">
        <f aca="false">IFERROR(__xludf.dummyfunction("""COMPUTED_VALUE"""),498129)</f>
        <v>498129</v>
      </c>
      <c r="B90" s="7" t="str">
        <f aca="false">IFERROR(__xludf.dummyfunction("""COMPUTED_VALUE"""),"Набор из 2 шт, Звонок настольный для ресепшн (454410)")</f>
        <v>Набор из 2 шт, Звонок настольный для ресепшн (454410)</v>
      </c>
      <c r="C90" s="5" t="str">
        <f aca="false">IFERROR(__xludf.dummyfunction("""COMPUTED_VALUE"""),"В наличии 3293")</f>
        <v>В наличии 3293</v>
      </c>
      <c r="D90" s="5" t="n">
        <f aca="false">IFERROR(__xludf.dummyfunction("""COMPUTED_VALUE"""),622)</f>
        <v>622</v>
      </c>
      <c r="E90" s="7" t="str">
        <f aca="false">IFERROR(__xludf.dummyfunction("""COMPUTED_VALUE"""),"/nabor-iz-2-sht-zvonok-nastolnyj-dlya-resepshn-454410-/")</f>
        <v>/nabor-iz-2-sht-zvonok-nastolnyj-dlya-resepshn-454410-/</v>
      </c>
    </row>
    <row r="91" customFormat="false" ht="46.25" hidden="false" customHeight="false" outlineLevel="0" collapsed="false">
      <c r="A91" s="5" t="n">
        <f aca="false">IFERROR(__xludf.dummyfunction("""COMPUTED_VALUE"""),499086)</f>
        <v>499086</v>
      </c>
      <c r="B91" s="7" t="str">
        <f aca="false">IFERROR(__xludf.dummyfunction("""COMPUTED_VALUE"""),"Набор из 2 шт, Клей ПВА универсальный 2,3 кг (бумага, картон, дерево), 
STAFF, 606433")</f>
        <v>Набор из 2 шт, Клей ПВА универсальный 2,3 кг (бумага, картон, дерево), 
STAFF, 606433</v>
      </c>
      <c r="C91" s="5" t="str">
        <f aca="false">IFERROR(__xludf.dummyfunction("""COMPUTED_VALUE"""),"В наличии 348")</f>
        <v>В наличии 348</v>
      </c>
      <c r="D91" s="5" t="n">
        <f aca="false">IFERROR(__xludf.dummyfunction("""COMPUTED_VALUE"""),686)</f>
        <v>686</v>
      </c>
      <c r="E91" s="7" t="str">
        <f aca="false">IFERROR(__xludf.dummyfunction("""COMPUTED_VALUE"""),"/nabor-iz-2-sht-klej-pva-universalnyj-2-3-kg-bumaga-karton-derevo-staff-606433/")</f>
        <v>/nabor-iz-2-sht-klej-pva-universalnyj-2-3-kg-bumaga-karton-derevo-staff-606433/</v>
      </c>
    </row>
    <row r="92" customFormat="false" ht="35.05" hidden="false" customHeight="false" outlineLevel="0" collapsed="false">
      <c r="A92" s="5" t="n">
        <f aca="false">IFERROR(__xludf.dummyfunction("""COMPUTED_VALUE"""),502098)</f>
        <v>502098</v>
      </c>
      <c r="B92" s="7" t="str">
        <f aca="false">IFERROR(__xludf.dummyfunction("""COMPUTED_VALUE"""),"Набор из 2 шт, Лупа просмотровая BRAUBERG (454128)")</f>
        <v>Набор из 2 шт, Лупа просмотровая BRAUBERG (454128)</v>
      </c>
      <c r="C92" s="5" t="str">
        <f aca="false">IFERROR(__xludf.dummyfunction("""COMPUTED_VALUE"""),"В наличии 455")</f>
        <v>В наличии 455</v>
      </c>
      <c r="D92" s="5" t="n">
        <f aca="false">IFERROR(__xludf.dummyfunction("""COMPUTED_VALUE"""),706)</f>
        <v>706</v>
      </c>
      <c r="E92" s="7" t="str">
        <f aca="false">IFERROR(__xludf.dummyfunction("""COMPUTED_VALUE"""),"/nabor-iz-2-sht-lupa-prosmotrovaya-brauberg-454128-/")</f>
        <v>/nabor-iz-2-sht-lupa-prosmotrovaya-brauberg-454128-/</v>
      </c>
    </row>
    <row r="93" customFormat="false" ht="35.05" hidden="false" customHeight="false" outlineLevel="0" collapsed="false">
      <c r="A93" s="5" t="n">
        <f aca="false">IFERROR(__xludf.dummyfunction("""COMPUTED_VALUE"""),502099)</f>
        <v>502099</v>
      </c>
      <c r="B93" s="7" t="str">
        <f aca="false">IFERROR(__xludf.dummyfunction("""COMPUTED_VALUE"""),"Набор из 2 шт, Лупа просмотровая BRAUBERG (454130)")</f>
        <v>Набор из 2 шт, Лупа просмотровая BRAUBERG (454130)</v>
      </c>
      <c r="C93" s="5" t="str">
        <f aca="false">IFERROR(__xludf.dummyfunction("""COMPUTED_VALUE"""),"В наличии 80")</f>
        <v>В наличии 80</v>
      </c>
      <c r="D93" s="5" t="n">
        <f aca="false">IFERROR(__xludf.dummyfunction("""COMPUTED_VALUE"""),746)</f>
        <v>746</v>
      </c>
      <c r="E93" s="7" t="str">
        <f aca="false">IFERROR(__xludf.dummyfunction("""COMPUTED_VALUE"""),"/nabor-iz-2-sht-lupa-prosmotrovaya-brauberg-454130-/")</f>
        <v>/nabor-iz-2-sht-lupa-prosmotrovaya-brauberg-454130-/</v>
      </c>
    </row>
    <row r="94" customFormat="false" ht="57.45" hidden="false" customHeight="false" outlineLevel="0" collapsed="false">
      <c r="A94" s="5" t="n">
        <f aca="false">IFERROR(__xludf.dummyfunction("""COMPUTED_VALUE"""),504610)</f>
        <v>504610</v>
      </c>
      <c r="B94" s="7" t="str">
        <f aca="false">IFERROR(__xludf.dummyfunction("""COMPUTED_VALUE"""),"Набор из 2 шт, Набор BRAUBERG, скрепки цветные 28 мм/100 шт., кнопки 
канцелярские 100 шт., силовые кнопки 50 шт., 229675")</f>
        <v>Набор из 2 шт, Набор BRAUBERG, скрепки цветные 28 мм/100 шт., кнопки 
канцелярские 100 шт., силовые кнопки 50 шт., 229675</v>
      </c>
      <c r="C94" s="5" t="str">
        <f aca="false">IFERROR(__xludf.dummyfunction("""COMPUTED_VALUE"""),"В наличии 3156")</f>
        <v>В наличии 3156</v>
      </c>
      <c r="D94" s="5" t="n">
        <f aca="false">IFERROR(__xludf.dummyfunction("""COMPUTED_VALUE"""),370)</f>
        <v>370</v>
      </c>
      <c r="E94" s="7" t="str">
        <f aca="false">IFERROR(__xludf.dummyfunction("""COMPUTED_VALUE"""),"/nabor-iz-2-sht-nabor-brauberg-skrepki-cvetnye-28-mm-100-sht-knopki-kancelyarskie-100-sht-silovye-knopki-50-sht-229675/")</f>
        <v>/nabor-iz-2-sht-nabor-brauberg-skrepki-cvetnye-28-mm-100-sht-knopki-kancelyarskie-100-sht-silovye-knopki-50-sht-229675/</v>
      </c>
    </row>
    <row r="95" customFormat="false" ht="23.85" hidden="false" customHeight="false" outlineLevel="0" collapsed="false">
      <c r="A95" s="5" t="n">
        <f aca="false">IFERROR(__xludf.dummyfunction("""COMPUTED_VALUE"""),500973)</f>
        <v>500973</v>
      </c>
      <c r="B95" s="7" t="str">
        <f aca="false">IFERROR(__xludf.dummyfunction("""COMPUTED_VALUE"""),"Набор из 20 шт, Клей ПВА BRAUBERG (222875)")</f>
        <v>Набор из 20 шт, Клей ПВА BRAUBERG (222875)</v>
      </c>
      <c r="C95" s="5" t="str">
        <f aca="false">IFERROR(__xludf.dummyfunction("""COMPUTED_VALUE"""),"В наличии 20")</f>
        <v>В наличии 20</v>
      </c>
      <c r="D95" s="5" t="n">
        <f aca="false">IFERROR(__xludf.dummyfunction("""COMPUTED_VALUE"""),560)</f>
        <v>560</v>
      </c>
      <c r="E95" s="7" t="str">
        <f aca="false">IFERROR(__xludf.dummyfunction("""COMPUTED_VALUE"""),"/nabor-iz-20-sht-klej-pva-brauberg-222875-/")</f>
        <v>/nabor-iz-20-sht-klej-pva-brauberg-222875-/</v>
      </c>
    </row>
    <row r="96" customFormat="false" ht="23.85" hidden="false" customHeight="false" outlineLevel="0" collapsed="false">
      <c r="A96" s="5" t="n">
        <f aca="false">IFERROR(__xludf.dummyfunction("""COMPUTED_VALUE"""),497770)</f>
        <v>497770</v>
      </c>
      <c r="B96" s="7" t="str">
        <f aca="false">IFERROR(__xludf.dummyfunction("""COMPUTED_VALUE"""),"Набор из 20 шт, Клей ПВА STAFF (225176)")</f>
        <v>Набор из 20 шт, Клей ПВА STAFF (225176)</v>
      </c>
      <c r="C96" s="5" t="str">
        <f aca="false">IFERROR(__xludf.dummyfunction("""COMPUTED_VALUE"""),"В наличии 14")</f>
        <v>В наличии 14</v>
      </c>
      <c r="D96" s="5" t="n">
        <f aca="false">IFERROR(__xludf.dummyfunction("""COMPUTED_VALUE"""),1080)</f>
        <v>1080</v>
      </c>
      <c r="E96" s="7" t="str">
        <f aca="false">IFERROR(__xludf.dummyfunction("""COMPUTED_VALUE"""),"/nabor-iz-20-sht-klej-pva-staff-225176-/")</f>
        <v>/nabor-iz-20-sht-klej-pva-staff-225176-/</v>
      </c>
    </row>
    <row r="97" customFormat="false" ht="23.85" hidden="false" customHeight="false" outlineLevel="0" collapsed="false">
      <c r="A97" s="5" t="n">
        <f aca="false">IFERROR(__xludf.dummyfunction("""COMPUTED_VALUE"""),497870)</f>
        <v>497870</v>
      </c>
      <c r="B97" s="7" t="str">
        <f aca="false">IFERROR(__xludf.dummyfunction("""COMPUTED_VALUE"""),"Набор из 20 шт, Клей ПВА ЮНЛАНДИЯ (бумага (227382)")</f>
        <v>Набор из 20 шт, Клей ПВА ЮНЛАНДИЯ (бумага (227382)</v>
      </c>
      <c r="C97" s="5" t="str">
        <f aca="false">IFERROR(__xludf.dummyfunction("""COMPUTED_VALUE"""),"В наличии 285")</f>
        <v>В наличии 285</v>
      </c>
      <c r="D97" s="5" t="n">
        <f aca="false">IFERROR(__xludf.dummyfunction("""COMPUTED_VALUE"""),780)</f>
        <v>780</v>
      </c>
      <c r="E97" s="7" t="str">
        <f aca="false">IFERROR(__xludf.dummyfunction("""COMPUTED_VALUE"""),"/nabor-iz-20-sht-klej-pva-yunlandiya-bumaga-227382-/")</f>
        <v>/nabor-iz-20-sht-klej-pva-yunlandiya-bumaga-227382-/</v>
      </c>
    </row>
    <row r="98" customFormat="false" ht="46.25" hidden="false" customHeight="false" outlineLevel="0" collapsed="false">
      <c r="A98" s="5" t="n">
        <f aca="false">IFERROR(__xludf.dummyfunction("""COMPUTED_VALUE"""),498850)</f>
        <v>498850</v>
      </c>
      <c r="B98" s="7" t="str">
        <f aca="false">IFERROR(__xludf.dummyfunction("""COMPUTED_VALUE"""),"Набор из 20 шт, Клей-карандаш BRAUBERG ""COLOR Crystal"", 15 г, прозрачный, 
ассорти, 227969, PVP")</f>
        <v>Набор из 20 шт, Клей-карандаш BRAUBERG "COLOR Crystal", 15 г, прозрачный, 
ассорти, 227969, PVP</v>
      </c>
      <c r="C98" s="5" t="str">
        <f aca="false">IFERROR(__xludf.dummyfunction("""COMPUTED_VALUE"""),"В наличии 2037")</f>
        <v>В наличии 2037</v>
      </c>
      <c r="D98" s="5" t="n">
        <f aca="false">IFERROR(__xludf.dummyfunction("""COMPUTED_VALUE"""),980)</f>
        <v>980</v>
      </c>
      <c r="E98" s="7" t="str">
        <f aca="false">IFERROR(__xludf.dummyfunction("""COMPUTED_VALUE"""),"/nabor-iz-20-sht-klej-karandash-brauberg-color-crystal-15-g-prozrachnyj-assorti-227969-pvp/")</f>
        <v>/nabor-iz-20-sht-klej-karandash-brauberg-color-crystal-15-g-prozrachnyj-assorti-227969-pvp/</v>
      </c>
    </row>
    <row r="99" customFormat="false" ht="35.05" hidden="false" customHeight="false" outlineLevel="0" collapsed="false">
      <c r="A99" s="5" t="n">
        <f aca="false">IFERROR(__xludf.dummyfunction("""COMPUTED_VALUE"""),501051)</f>
        <v>501051</v>
      </c>
      <c r="B99" s="7" t="str">
        <f aca="false">IFERROR(__xludf.dummyfunction("""COMPUTED_VALUE"""),"Набор из 20 шт, Клей-карандаш BRAUBERG ""Crystal"" (224337)")</f>
        <v>Набор из 20 шт, Клей-карандаш BRAUBERG "Crystal" (224337)</v>
      </c>
      <c r="C99" s="5" t="str">
        <f aca="false">IFERROR(__xludf.dummyfunction("""COMPUTED_VALUE"""),"В наличии 439")</f>
        <v>В наличии 439</v>
      </c>
      <c r="D99" s="5" t="n">
        <f aca="false">IFERROR(__xludf.dummyfunction("""COMPUTED_VALUE"""),920)</f>
        <v>920</v>
      </c>
      <c r="E99" s="7" t="str">
        <f aca="false">IFERROR(__xludf.dummyfunction("""COMPUTED_VALUE"""),"/nabor-iz-20-sht-klej-karandash-brauberg-crystal-224337-/")</f>
        <v>/nabor-iz-20-sht-klej-karandash-brauberg-crystal-224337-/</v>
      </c>
    </row>
    <row r="100" customFormat="false" ht="35.05" hidden="false" customHeight="false" outlineLevel="0" collapsed="false">
      <c r="A100" s="5" t="n">
        <f aca="false">IFERROR(__xludf.dummyfunction("""COMPUTED_VALUE"""),498851)</f>
        <v>498851</v>
      </c>
      <c r="B100" s="7" t="str">
        <f aca="false">IFERROR(__xludf.dummyfunction("""COMPUTED_VALUE"""),"Набор из 20 шт, Клей-карандаш BRAUBERG ""Fresh Zone"", 15 г, 227971, PVP")</f>
        <v>Набор из 20 шт, Клей-карандаш BRAUBERG "Fresh Zone", 15 г, 227971, PVP</v>
      </c>
      <c r="C100" s="5" t="str">
        <f aca="false">IFERROR(__xludf.dummyfunction("""COMPUTED_VALUE"""),"В наличии 724")</f>
        <v>В наличии 724</v>
      </c>
      <c r="D100" s="5" t="n">
        <f aca="false">IFERROR(__xludf.dummyfunction("""COMPUTED_VALUE"""),840)</f>
        <v>840</v>
      </c>
      <c r="E100" s="7" t="str">
        <f aca="false">IFERROR(__xludf.dummyfunction("""COMPUTED_VALUE"""),"/nabor-iz-20-sht-klej-karandash-brauberg-fresh-zone-15-g-227971-pvp/")</f>
        <v>/nabor-iz-20-sht-klej-karandash-brauberg-fresh-zone-15-g-227971-pvp/</v>
      </c>
    </row>
    <row r="101" customFormat="false" ht="35.05" hidden="false" customHeight="false" outlineLevel="0" collapsed="false">
      <c r="A101" s="5" t="n">
        <f aca="false">IFERROR(__xludf.dummyfunction("""COMPUTED_VALUE"""),500756)</f>
        <v>500756</v>
      </c>
      <c r="B101" s="7" t="str">
        <f aca="false">IFERROR(__xludf.dummyfunction("""COMPUTED_VALUE"""),"Набор из 20 шт, Клей-карандаш BRAUBERG (220874)")</f>
        <v>Набор из 20 шт, Клей-карандаш BRAUBERG (220874)</v>
      </c>
      <c r="C101" s="5" t="str">
        <f aca="false">IFERROR(__xludf.dummyfunction("""COMPUTED_VALUE"""),"В наличии 2157")</f>
        <v>В наличии 2157</v>
      </c>
      <c r="D101" s="5" t="n">
        <f aca="false">IFERROR(__xludf.dummyfunction("""COMPUTED_VALUE"""),860)</f>
        <v>860</v>
      </c>
      <c r="E101" s="7" t="str">
        <f aca="false">IFERROR(__xludf.dummyfunction("""COMPUTED_VALUE"""),"/nabor-iz-20-sht-klej-karandash-brauberg-220874-/")</f>
        <v>/nabor-iz-20-sht-klej-karandash-brauberg-220874-/</v>
      </c>
    </row>
    <row r="102" customFormat="false" ht="46.25" hidden="false" customHeight="false" outlineLevel="0" collapsed="false">
      <c r="A102" s="5" t="n">
        <f aca="false">IFERROR(__xludf.dummyfunction("""COMPUTED_VALUE"""),503790)</f>
        <v>503790</v>
      </c>
      <c r="B102" s="7" t="str">
        <f aca="false">IFERROR(__xludf.dummyfunction("""COMPUTED_VALUE"""),"Набор из 20 шт, Клей-карандаш BRAUBERG MIX, 15 г, PVP основа, 229072 
(229072)")</f>
        <v>Набор из 20 шт, Клей-карандаш BRAUBERG MIX, 15 г, PVP основа, 229072 
(229072)</v>
      </c>
      <c r="C102" s="5" t="str">
        <f aca="false">IFERROR(__xludf.dummyfunction("""COMPUTED_VALUE"""),"В наличии 32")</f>
        <v>В наличии 32</v>
      </c>
      <c r="D102" s="5" t="n">
        <f aca="false">IFERROR(__xludf.dummyfunction("""COMPUTED_VALUE"""),840)</f>
        <v>840</v>
      </c>
      <c r="E102" s="7" t="str">
        <f aca="false">IFERROR(__xludf.dummyfunction("""COMPUTED_VALUE"""),"/nabor-iz-20-sht-klej-karandash-brauberg-mix-15-g-pvp-osnova-229072-229072-/")</f>
        <v>/nabor-iz-20-sht-klej-karandash-brauberg-mix-15-g-pvp-osnova-229072-229072-/</v>
      </c>
    </row>
    <row r="103" customFormat="false" ht="35.05" hidden="false" customHeight="false" outlineLevel="0" collapsed="false">
      <c r="A103" s="5" t="n">
        <f aca="false">IFERROR(__xludf.dummyfunction("""COMPUTED_VALUE"""),504587)</f>
        <v>504587</v>
      </c>
      <c r="B103" s="7" t="str">
        <f aca="false">IFERROR(__xludf.dummyfunction("""COMPUTED_VALUE"""),"Набор из 20 шт, Клей-карандаш BRAUBERG SUPER, 15 г, ЮЖНАЯ КОРЕЯ, 229541")</f>
        <v>Набор из 20 шт, Клей-карандаш BRAUBERG SUPER, 15 г, ЮЖНАЯ КОРЕЯ, 229541</v>
      </c>
      <c r="C103" s="5" t="str">
        <f aca="false">IFERROR(__xludf.dummyfunction("""COMPUTED_VALUE"""),"В наличии 11603")</f>
        <v>В наличии 11603</v>
      </c>
      <c r="D103" s="5" t="n">
        <f aca="false">IFERROR(__xludf.dummyfunction("""COMPUTED_VALUE"""),800)</f>
        <v>800</v>
      </c>
      <c r="E103" s="7" t="str">
        <f aca="false">IFERROR(__xludf.dummyfunction("""COMPUTED_VALUE"""),"/nabor-iz-20-sht-klej-karandash-brauberg-super-15-g-yuzhnaya-koreya-229541/")</f>
        <v>/nabor-iz-20-sht-klej-karandash-brauberg-super-15-g-yuzhnaya-koreya-229541/</v>
      </c>
    </row>
    <row r="104" customFormat="false" ht="57.45" hidden="false" customHeight="false" outlineLevel="0" collapsed="false">
      <c r="A104" s="5" t="n">
        <f aca="false">IFERROR(__xludf.dummyfunction("""COMPUTED_VALUE"""),504592)</f>
        <v>504592</v>
      </c>
      <c r="B104" s="7" t="str">
        <f aca="false">IFERROR(__xludf.dummyfunction("""COMPUTED_VALUE"""),"Набор из 20 шт, Клей-карандаш BRAUBERG ULTRA STRONG, УСИЛЕННАЯ ФОРМУЛА, 15 
г, ЮЖНАЯ КОРЕЯ, 229545")</f>
        <v>Набор из 20 шт, Клей-карандаш BRAUBERG ULTRA STRONG, УСИЛЕННАЯ ФОРМУЛА, 15 
г, ЮЖНАЯ КОРЕЯ, 229545</v>
      </c>
      <c r="C104" s="5" t="str">
        <f aca="false">IFERROR(__xludf.dummyfunction("""COMPUTED_VALUE"""),"В наличии 2358")</f>
        <v>В наличии 2358</v>
      </c>
      <c r="D104" s="5" t="n">
        <f aca="false">IFERROR(__xludf.dummyfunction("""COMPUTED_VALUE"""),880)</f>
        <v>880</v>
      </c>
      <c r="E104" s="7" t="str">
        <f aca="false">IFERROR(__xludf.dummyfunction("""COMPUTED_VALUE"""),"/nabor-iz-20-sht-klej-karandash-brauberg-ultra-strong-usilennaya-formula-15-g-yuzhnaya-koreya-229545/")</f>
        <v>/nabor-iz-20-sht-klej-karandash-brauberg-ultra-strong-usilennaya-formula-15-g-yuzhnaya-koreya-229545/</v>
      </c>
    </row>
    <row r="105" customFormat="false" ht="35.05" hidden="false" customHeight="false" outlineLevel="0" collapsed="false">
      <c r="A105" s="5" t="n">
        <f aca="false">IFERROR(__xludf.dummyfunction("""COMPUTED_VALUE"""),500902)</f>
        <v>500902</v>
      </c>
      <c r="B105" s="7" t="str">
        <f aca="false">IFERROR(__xludf.dummyfunction("""COMPUTED_VALUE"""),"Набор из 20 шт, Клей-карандаш ERICH KRAUSE (222283)")</f>
        <v>Набор из 20 шт, Клей-карандаш ERICH KRAUSE (222283)</v>
      </c>
      <c r="C105" s="5" t="str">
        <f aca="false">IFERROR(__xludf.dummyfunction("""COMPUTED_VALUE"""),"В наличии 2641")</f>
        <v>В наличии 2641</v>
      </c>
      <c r="D105" s="5" t="n">
        <f aca="false">IFERROR(__xludf.dummyfunction("""COMPUTED_VALUE"""),1260)</f>
        <v>1260</v>
      </c>
      <c r="E105" s="7" t="str">
        <f aca="false">IFERROR(__xludf.dummyfunction("""COMPUTED_VALUE"""),"/nabor-iz-20-sht-klej-karandash-erich-krause-222283-/")</f>
        <v>/nabor-iz-20-sht-klej-karandash-erich-krause-222283-/</v>
      </c>
    </row>
    <row r="106" customFormat="false" ht="35.05" hidden="false" customHeight="false" outlineLevel="0" collapsed="false">
      <c r="A106" s="5" t="n">
        <f aca="false">IFERROR(__xludf.dummyfunction("""COMPUTED_VALUE"""),500903)</f>
        <v>500903</v>
      </c>
      <c r="B106" s="7" t="str">
        <f aca="false">IFERROR(__xludf.dummyfunction("""COMPUTED_VALUE"""),"Набор из 20 шт, Клей-карандаш ERICH KRAUSE (222284)")</f>
        <v>Набор из 20 шт, Клей-карандаш ERICH KRAUSE (222284)</v>
      </c>
      <c r="C106" s="5" t="str">
        <f aca="false">IFERROR(__xludf.dummyfunction("""COMPUTED_VALUE"""),"В наличии 1630")</f>
        <v>В наличии 1630</v>
      </c>
      <c r="D106" s="5" t="n">
        <f aca="false">IFERROR(__xludf.dummyfunction("""COMPUTED_VALUE"""),1760)</f>
        <v>1760</v>
      </c>
      <c r="E106" s="7" t="str">
        <f aca="false">IFERROR(__xludf.dummyfunction("""COMPUTED_VALUE"""),"/nabor-iz-20-sht-klej-karandash-erich-krause-222284-/")</f>
        <v>/nabor-iz-20-sht-klej-karandash-erich-krause-222284-/</v>
      </c>
    </row>
    <row r="107" customFormat="false" ht="35.05" hidden="false" customHeight="false" outlineLevel="0" collapsed="false">
      <c r="A107" s="5" t="n">
        <f aca="false">IFERROR(__xludf.dummyfunction("""COMPUTED_VALUE"""),501198)</f>
        <v>501198</v>
      </c>
      <c r="B107" s="7" t="str">
        <f aca="false">IFERROR(__xludf.dummyfunction("""COMPUTED_VALUE"""),"Набор из 20 шт, Клей-карандаш ОФИСМАГ ""Crystal"" (225964)")</f>
        <v>Набор из 20 шт, Клей-карандаш ОФИСМАГ "Crystal" (225964)</v>
      </c>
      <c r="C107" s="5" t="str">
        <f aca="false">IFERROR(__xludf.dummyfunction("""COMPUTED_VALUE"""),"В наличии 847")</f>
        <v>В наличии 847</v>
      </c>
      <c r="D107" s="5" t="n">
        <f aca="false">IFERROR(__xludf.dummyfunction("""COMPUTED_VALUE"""),660)</f>
        <v>660</v>
      </c>
      <c r="E107" s="7" t="str">
        <f aca="false">IFERROR(__xludf.dummyfunction("""COMPUTED_VALUE"""),"/nabor-iz-20-sht-klej-karandash-ofismag-crystal-225964-/")</f>
        <v>/nabor-iz-20-sht-klej-karandash-ofismag-crystal-225964-/</v>
      </c>
    </row>
    <row r="108" customFormat="false" ht="23.85" hidden="false" customHeight="false" outlineLevel="0" collapsed="false">
      <c r="A108" s="5" t="n">
        <f aca="false">IFERROR(__xludf.dummyfunction("""COMPUTED_VALUE"""),501243)</f>
        <v>501243</v>
      </c>
      <c r="B108" s="7" t="str">
        <f aca="false">IFERROR(__xludf.dummyfunction("""COMPUTED_VALUE"""),"Набор из 20 шт, Клей-карандаш ОФИСМАГ (226619)")</f>
        <v>Набор из 20 шт, Клей-карандаш ОФИСМАГ (226619)</v>
      </c>
      <c r="C108" s="5" t="str">
        <f aca="false">IFERROR(__xludf.dummyfunction("""COMPUTED_VALUE"""),"В наличии 6")</f>
        <v>В наличии 6</v>
      </c>
      <c r="D108" s="5" t="n">
        <f aca="false">IFERROR(__xludf.dummyfunction("""COMPUTED_VALUE"""),740)</f>
        <v>740</v>
      </c>
      <c r="E108" s="7" t="str">
        <f aca="false">IFERROR(__xludf.dummyfunction("""COMPUTED_VALUE"""),"/nabor-iz-20-sht-klej-karandash-ofismag-226619-/")</f>
        <v>/nabor-iz-20-sht-klej-karandash-ofismag-226619-/</v>
      </c>
    </row>
    <row r="109" customFormat="false" ht="35.05" hidden="false" customHeight="false" outlineLevel="0" collapsed="false">
      <c r="A109" s="5" t="n">
        <f aca="false">IFERROR(__xludf.dummyfunction("""COMPUTED_VALUE"""),501197)</f>
        <v>501197</v>
      </c>
      <c r="B109" s="7" t="str">
        <f aca="false">IFERROR(__xludf.dummyfunction("""COMPUTED_VALUE"""),"Набор из 20 шт, Клей-карандаш ОФИСМАГ 15 г (225963)")</f>
        <v>Набор из 20 шт, Клей-карандаш ОФИСМАГ 15 г (225963)</v>
      </c>
      <c r="C109" s="5" t="str">
        <f aca="false">IFERROR(__xludf.dummyfunction("""COMPUTED_VALUE"""),"В наличии 1687")</f>
        <v>В наличии 1687</v>
      </c>
      <c r="D109" s="5" t="n">
        <f aca="false">IFERROR(__xludf.dummyfunction("""COMPUTED_VALUE"""),860)</f>
        <v>860</v>
      </c>
      <c r="E109" s="7" t="str">
        <f aca="false">IFERROR(__xludf.dummyfunction("""COMPUTED_VALUE"""),"/nabor-iz-20-sht-klej-karandash-ofismag-15-g-225963-/")</f>
        <v>/nabor-iz-20-sht-klej-karandash-ofismag-15-g-225963-/</v>
      </c>
    </row>
    <row r="110" customFormat="false" ht="13.8" hidden="false" customHeight="false" outlineLevel="0" collapsed="false">
      <c r="B110" s="7"/>
      <c r="E110" s="7"/>
    </row>
    <row r="111" customFormat="false" ht="13.8" hidden="false" customHeight="false" outlineLevel="0" collapsed="false">
      <c r="B111" s="7"/>
      <c r="E111" s="7"/>
    </row>
    <row r="112" customFormat="false" ht="13.8" hidden="false" customHeight="false" outlineLevel="0" collapsed="false">
      <c r="B112" s="7"/>
      <c r="E112" s="7"/>
    </row>
    <row r="113" customFormat="false" ht="13.8" hidden="false" customHeight="false" outlineLevel="0" collapsed="false">
      <c r="B113" s="7"/>
      <c r="E113" s="7"/>
    </row>
    <row r="114" customFormat="false" ht="13.8" hidden="false" customHeight="false" outlineLevel="0" collapsed="false">
      <c r="B114" s="7"/>
      <c r="E114" s="7"/>
    </row>
    <row r="115" customFormat="false" ht="13.8" hidden="false" customHeight="false" outlineLevel="0" collapsed="false">
      <c r="B115" s="7"/>
      <c r="E115" s="7"/>
    </row>
    <row r="116" customFormat="false" ht="13.8" hidden="false" customHeight="false" outlineLevel="0" collapsed="false">
      <c r="B116" s="7"/>
      <c r="E116" s="7"/>
    </row>
    <row r="117" customFormat="false" ht="13.8" hidden="false" customHeight="false" outlineLevel="0" collapsed="false">
      <c r="B117" s="7"/>
      <c r="E117" s="7"/>
    </row>
    <row r="118" customFormat="false" ht="13.8" hidden="false" customHeight="false" outlineLevel="0" collapsed="false">
      <c r="B118" s="7"/>
      <c r="E118" s="7"/>
    </row>
    <row r="119" customFormat="false" ht="13.8" hidden="false" customHeight="false" outlineLevel="0" collapsed="false">
      <c r="B119" s="7"/>
      <c r="E119" s="7"/>
    </row>
    <row r="120" customFormat="false" ht="13.8" hidden="false" customHeight="false" outlineLevel="0" collapsed="false">
      <c r="B120" s="7"/>
      <c r="E120" s="7"/>
    </row>
    <row r="121" customFormat="false" ht="13.8" hidden="false" customHeight="false" outlineLevel="0" collapsed="false">
      <c r="B121" s="7"/>
      <c r="E121" s="7"/>
    </row>
    <row r="122" customFormat="false" ht="13.8" hidden="false" customHeight="false" outlineLevel="0" collapsed="false">
      <c r="B122" s="7"/>
      <c r="E122" s="7"/>
    </row>
    <row r="123" customFormat="false" ht="13.8" hidden="false" customHeight="false" outlineLevel="0" collapsed="false">
      <c r="B123" s="7"/>
      <c r="E123" s="7"/>
    </row>
    <row r="124" customFormat="false" ht="13.8" hidden="false" customHeight="false" outlineLevel="0" collapsed="false">
      <c r="B124" s="7"/>
      <c r="E124" s="7"/>
    </row>
    <row r="125" customFormat="false" ht="13.8" hidden="false" customHeight="false" outlineLevel="0" collapsed="false">
      <c r="B125" s="7"/>
      <c r="E125" s="7"/>
    </row>
    <row r="126" customFormat="false" ht="13.8" hidden="false" customHeight="false" outlineLevel="0" collapsed="false">
      <c r="B126" s="7"/>
      <c r="E126" s="7"/>
    </row>
    <row r="127" customFormat="false" ht="13.8" hidden="false" customHeight="false" outlineLevel="0" collapsed="false">
      <c r="B127" s="7"/>
      <c r="E127" s="7"/>
    </row>
    <row r="128" customFormat="false" ht="13.8" hidden="false" customHeight="false" outlineLevel="0" collapsed="false">
      <c r="B128" s="7"/>
      <c r="E128" s="7"/>
    </row>
    <row r="129" customFormat="false" ht="13.8" hidden="false" customHeight="false" outlineLevel="0" collapsed="false">
      <c r="B129" s="7"/>
      <c r="E129" s="7"/>
    </row>
    <row r="130" customFormat="false" ht="13.8" hidden="false" customHeight="false" outlineLevel="0" collapsed="false">
      <c r="B130" s="7"/>
      <c r="E130" s="7"/>
    </row>
    <row r="131" customFormat="false" ht="13.8" hidden="false" customHeight="false" outlineLevel="0" collapsed="false">
      <c r="B131" s="7"/>
      <c r="E131" s="7"/>
    </row>
    <row r="132" customFormat="false" ht="13.8" hidden="false" customHeight="false" outlineLevel="0" collapsed="false">
      <c r="B132" s="7"/>
      <c r="E132" s="7"/>
    </row>
    <row r="133" customFormat="false" ht="13.8" hidden="false" customHeight="false" outlineLevel="0" collapsed="false">
      <c r="B133" s="7"/>
      <c r="E133" s="7"/>
    </row>
    <row r="134" customFormat="false" ht="13.8" hidden="false" customHeight="false" outlineLevel="0" collapsed="false">
      <c r="B134" s="7"/>
      <c r="E134" s="7"/>
    </row>
    <row r="135" customFormat="false" ht="13.8" hidden="false" customHeight="false" outlineLevel="0" collapsed="false">
      <c r="B135" s="7"/>
      <c r="E135" s="7"/>
    </row>
    <row r="136" customFormat="false" ht="13.8" hidden="false" customHeight="false" outlineLevel="0" collapsed="false">
      <c r="B136" s="7"/>
      <c r="E136" s="7"/>
    </row>
    <row r="137" customFormat="false" ht="13.8" hidden="false" customHeight="false" outlineLevel="0" collapsed="false">
      <c r="B137" s="7"/>
      <c r="E137" s="7"/>
    </row>
    <row r="138" customFormat="false" ht="13.8" hidden="false" customHeight="false" outlineLevel="0" collapsed="false">
      <c r="B138" s="7"/>
      <c r="E138" s="7"/>
    </row>
    <row r="139" customFormat="false" ht="13.8" hidden="false" customHeight="false" outlineLevel="0" collapsed="false">
      <c r="B139" s="7"/>
      <c r="E139" s="7"/>
    </row>
    <row r="140" customFormat="false" ht="13.8" hidden="false" customHeight="false" outlineLevel="0" collapsed="false">
      <c r="B140" s="7"/>
      <c r="E140" s="7"/>
    </row>
    <row r="141" customFormat="false" ht="13.8" hidden="false" customHeight="false" outlineLevel="0" collapsed="false">
      <c r="B141" s="7"/>
      <c r="E141" s="7"/>
    </row>
    <row r="142" customFormat="false" ht="13.8" hidden="false" customHeight="false" outlineLevel="0" collapsed="false">
      <c r="B142" s="7"/>
      <c r="E142" s="7"/>
    </row>
    <row r="143" customFormat="false" ht="13.8" hidden="false" customHeight="false" outlineLevel="0" collapsed="false">
      <c r="B143" s="7"/>
      <c r="E143" s="7"/>
    </row>
    <row r="144" customFormat="false" ht="13.8" hidden="false" customHeight="false" outlineLevel="0" collapsed="false">
      <c r="B144" s="7"/>
      <c r="E144" s="7"/>
    </row>
    <row r="145" customFormat="false" ht="13.8" hidden="false" customHeight="false" outlineLevel="0" collapsed="false">
      <c r="B145" s="7"/>
      <c r="E145" s="7"/>
    </row>
    <row r="146" customFormat="false" ht="13.8" hidden="false" customHeight="false" outlineLevel="0" collapsed="false">
      <c r="B146" s="7"/>
      <c r="E146" s="7"/>
    </row>
    <row r="147" customFormat="false" ht="13.8" hidden="false" customHeight="false" outlineLevel="0" collapsed="false">
      <c r="B147" s="7"/>
      <c r="E147" s="7"/>
    </row>
    <row r="148" customFormat="false" ht="13.8" hidden="false" customHeight="false" outlineLevel="0" collapsed="false">
      <c r="B148" s="7"/>
      <c r="E148" s="7"/>
    </row>
    <row r="149" customFormat="false" ht="13.8" hidden="false" customHeight="false" outlineLevel="0" collapsed="false">
      <c r="B149" s="7"/>
      <c r="E149" s="7"/>
    </row>
    <row r="150" customFormat="false" ht="13.8" hidden="false" customHeight="false" outlineLevel="0" collapsed="false">
      <c r="B150" s="7"/>
      <c r="E150" s="7"/>
    </row>
    <row r="151" customFormat="false" ht="13.8" hidden="false" customHeight="false" outlineLevel="0" collapsed="false">
      <c r="B151" s="7"/>
      <c r="E151" s="7"/>
    </row>
    <row r="152" customFormat="false" ht="13.8" hidden="false" customHeight="false" outlineLevel="0" collapsed="false">
      <c r="B152" s="7"/>
      <c r="E152" s="7"/>
    </row>
    <row r="153" customFormat="false" ht="13.8" hidden="false" customHeight="false" outlineLevel="0" collapsed="false">
      <c r="B153" s="7"/>
      <c r="E153" s="7"/>
    </row>
    <row r="154" customFormat="false" ht="13.8" hidden="false" customHeight="false" outlineLevel="0" collapsed="false">
      <c r="B154" s="7"/>
      <c r="E154" s="7"/>
    </row>
    <row r="155" customFormat="false" ht="13.8" hidden="false" customHeight="false" outlineLevel="0" collapsed="false">
      <c r="B155" s="7"/>
      <c r="E155" s="7"/>
    </row>
    <row r="156" customFormat="false" ht="13.8" hidden="false" customHeight="false" outlineLevel="0" collapsed="false">
      <c r="B156" s="7"/>
      <c r="E156" s="7"/>
    </row>
    <row r="157" customFormat="false" ht="13.8" hidden="false" customHeight="false" outlineLevel="0" collapsed="false">
      <c r="B157" s="7"/>
      <c r="E157" s="7"/>
    </row>
    <row r="158" customFormat="false" ht="13.8" hidden="false" customHeight="false" outlineLevel="0" collapsed="false">
      <c r="B158" s="7"/>
      <c r="E158" s="7"/>
    </row>
    <row r="159" customFormat="false" ht="13.8" hidden="false" customHeight="false" outlineLevel="0" collapsed="false">
      <c r="B159" s="7"/>
      <c r="E159" s="7"/>
    </row>
    <row r="160" customFormat="false" ht="13.8" hidden="false" customHeight="false" outlineLevel="0" collapsed="false">
      <c r="B160" s="7"/>
      <c r="E160" s="7"/>
    </row>
    <row r="161" customFormat="false" ht="13.8" hidden="false" customHeight="false" outlineLevel="0" collapsed="false">
      <c r="B161" s="7"/>
      <c r="E161" s="7"/>
    </row>
    <row r="162" customFormat="false" ht="13.8" hidden="false" customHeight="false" outlineLevel="0" collapsed="false">
      <c r="B162" s="7"/>
      <c r="E162" s="7"/>
    </row>
    <row r="163" customFormat="false" ht="13.8" hidden="false" customHeight="false" outlineLevel="0" collapsed="false">
      <c r="B163" s="7"/>
      <c r="E163" s="7"/>
    </row>
    <row r="164" customFormat="false" ht="13.8" hidden="false" customHeight="false" outlineLevel="0" collapsed="false">
      <c r="B164" s="7"/>
      <c r="E164" s="7"/>
    </row>
    <row r="165" customFormat="false" ht="13.8" hidden="false" customHeight="false" outlineLevel="0" collapsed="false">
      <c r="B165" s="7"/>
      <c r="E165" s="7"/>
    </row>
    <row r="166" customFormat="false" ht="13.8" hidden="false" customHeight="false" outlineLevel="0" collapsed="false">
      <c r="B166" s="7"/>
      <c r="E166" s="7"/>
    </row>
    <row r="167" customFormat="false" ht="13.8" hidden="false" customHeight="false" outlineLevel="0" collapsed="false">
      <c r="B167" s="7"/>
      <c r="E167" s="7"/>
    </row>
    <row r="168" customFormat="false" ht="13.8" hidden="false" customHeight="false" outlineLevel="0" collapsed="false">
      <c r="B168" s="7"/>
      <c r="E168" s="7"/>
    </row>
    <row r="169" customFormat="false" ht="13.8" hidden="false" customHeight="false" outlineLevel="0" collapsed="false">
      <c r="B169" s="7"/>
      <c r="E169" s="7"/>
    </row>
    <row r="170" customFormat="false" ht="13.8" hidden="false" customHeight="false" outlineLevel="0" collapsed="false">
      <c r="B170" s="7"/>
      <c r="E170" s="7"/>
    </row>
    <row r="171" customFormat="false" ht="13.8" hidden="false" customHeight="false" outlineLevel="0" collapsed="false">
      <c r="B171" s="7"/>
      <c r="E171" s="7"/>
    </row>
    <row r="172" customFormat="false" ht="13.8" hidden="false" customHeight="false" outlineLevel="0" collapsed="false">
      <c r="B172" s="7"/>
      <c r="E172" s="7"/>
    </row>
    <row r="173" customFormat="false" ht="13.8" hidden="false" customHeight="false" outlineLevel="0" collapsed="false">
      <c r="B173" s="7"/>
      <c r="E173" s="7"/>
    </row>
    <row r="174" customFormat="false" ht="13.8" hidden="false" customHeight="false" outlineLevel="0" collapsed="false">
      <c r="B174" s="7"/>
      <c r="E174" s="7"/>
    </row>
    <row r="175" customFormat="false" ht="13.8" hidden="false" customHeight="false" outlineLevel="0" collapsed="false">
      <c r="B175" s="7"/>
      <c r="E175" s="7"/>
    </row>
    <row r="176" customFormat="false" ht="13.8" hidden="false" customHeight="false" outlineLevel="0" collapsed="false">
      <c r="B176" s="7"/>
      <c r="E176" s="7"/>
    </row>
    <row r="177" customFormat="false" ht="13.8" hidden="false" customHeight="false" outlineLevel="0" collapsed="false">
      <c r="B177" s="7"/>
      <c r="E177" s="7"/>
    </row>
    <row r="178" customFormat="false" ht="13.8" hidden="false" customHeight="false" outlineLevel="0" collapsed="false">
      <c r="B178" s="7"/>
      <c r="E178" s="7"/>
    </row>
    <row r="179" customFormat="false" ht="13.8" hidden="false" customHeight="false" outlineLevel="0" collapsed="false">
      <c r="B179" s="7"/>
      <c r="E179" s="7"/>
    </row>
    <row r="180" customFormat="false" ht="13.8" hidden="false" customHeight="false" outlineLevel="0" collapsed="false">
      <c r="B180" s="7"/>
      <c r="E180" s="7"/>
    </row>
    <row r="181" customFormat="false" ht="13.8" hidden="false" customHeight="false" outlineLevel="0" collapsed="false">
      <c r="B181" s="7"/>
      <c r="E181" s="7"/>
    </row>
    <row r="182" customFormat="false" ht="13.8" hidden="false" customHeight="false" outlineLevel="0" collapsed="false">
      <c r="B182" s="7"/>
      <c r="E182" s="7"/>
    </row>
    <row r="183" customFormat="false" ht="13.8" hidden="false" customHeight="false" outlineLevel="0" collapsed="false">
      <c r="B183" s="7"/>
      <c r="E183" s="7"/>
    </row>
    <row r="184" customFormat="false" ht="13.8" hidden="false" customHeight="false" outlineLevel="0" collapsed="false">
      <c r="B184" s="7"/>
      <c r="E184" s="7"/>
    </row>
    <row r="185" customFormat="false" ht="13.8" hidden="false" customHeight="false" outlineLevel="0" collapsed="false">
      <c r="B185" s="7"/>
      <c r="E185" s="7"/>
    </row>
    <row r="186" customFormat="false" ht="13.8" hidden="false" customHeight="false" outlineLevel="0" collapsed="false">
      <c r="B186" s="7"/>
      <c r="E186" s="7"/>
    </row>
    <row r="187" customFormat="false" ht="13.8" hidden="false" customHeight="false" outlineLevel="0" collapsed="false">
      <c r="B187" s="7"/>
      <c r="E187" s="7"/>
    </row>
    <row r="188" customFormat="false" ht="13.8" hidden="false" customHeight="false" outlineLevel="0" collapsed="false">
      <c r="B188" s="7"/>
      <c r="E188" s="7"/>
    </row>
    <row r="189" customFormat="false" ht="13.8" hidden="false" customHeight="false" outlineLevel="0" collapsed="false">
      <c r="B189" s="7"/>
      <c r="E189" s="7"/>
    </row>
    <row r="190" customFormat="false" ht="13.8" hidden="false" customHeight="false" outlineLevel="0" collapsed="false">
      <c r="B190" s="7"/>
      <c r="E190" s="7"/>
    </row>
    <row r="191" customFormat="false" ht="13.8" hidden="false" customHeight="false" outlineLevel="0" collapsed="false">
      <c r="B191" s="7"/>
      <c r="E191" s="7"/>
    </row>
    <row r="192" customFormat="false" ht="13.8" hidden="false" customHeight="false" outlineLevel="0" collapsed="false">
      <c r="B192" s="7"/>
      <c r="E192" s="7"/>
    </row>
    <row r="193" customFormat="false" ht="13.8" hidden="false" customHeight="false" outlineLevel="0" collapsed="false">
      <c r="B193" s="7"/>
      <c r="E193" s="7"/>
    </row>
    <row r="194" customFormat="false" ht="13.8" hidden="false" customHeight="false" outlineLevel="0" collapsed="false">
      <c r="B194" s="7"/>
      <c r="E194" s="7"/>
    </row>
    <row r="195" customFormat="false" ht="13.8" hidden="false" customHeight="false" outlineLevel="0" collapsed="false">
      <c r="B195" s="7"/>
      <c r="E195" s="7"/>
    </row>
    <row r="196" customFormat="false" ht="13.8" hidden="false" customHeight="false" outlineLevel="0" collapsed="false">
      <c r="B196" s="7"/>
      <c r="E196" s="7"/>
    </row>
    <row r="197" customFormat="false" ht="13.8" hidden="false" customHeight="false" outlineLevel="0" collapsed="false">
      <c r="B197" s="7"/>
      <c r="E197" s="7"/>
    </row>
    <row r="198" customFormat="false" ht="13.8" hidden="false" customHeight="false" outlineLevel="0" collapsed="false">
      <c r="B198" s="7"/>
      <c r="E198" s="7"/>
    </row>
    <row r="199" customFormat="false" ht="13.8" hidden="false" customHeight="false" outlineLevel="0" collapsed="false">
      <c r="B199" s="7"/>
      <c r="E199" s="7"/>
    </row>
    <row r="200" customFormat="false" ht="13.8" hidden="false" customHeight="false" outlineLevel="0" collapsed="false">
      <c r="B200" s="7"/>
      <c r="E200" s="7"/>
    </row>
    <row r="201" customFormat="false" ht="13.8" hidden="false" customHeight="false" outlineLevel="0" collapsed="false">
      <c r="B201" s="7"/>
      <c r="E201" s="7"/>
    </row>
    <row r="202" customFormat="false" ht="13.8" hidden="false" customHeight="false" outlineLevel="0" collapsed="false">
      <c r="B202" s="7"/>
      <c r="E202" s="7"/>
    </row>
    <row r="203" customFormat="false" ht="13.8" hidden="false" customHeight="false" outlineLevel="0" collapsed="false">
      <c r="B203" s="7"/>
      <c r="E203" s="7"/>
    </row>
    <row r="204" customFormat="false" ht="13.8" hidden="false" customHeight="false" outlineLevel="0" collapsed="false">
      <c r="B204" s="7"/>
      <c r="E204" s="7"/>
    </row>
    <row r="205" customFormat="false" ht="13.8" hidden="false" customHeight="false" outlineLevel="0" collapsed="false">
      <c r="B205" s="7"/>
      <c r="E205" s="7"/>
    </row>
    <row r="206" customFormat="false" ht="13.8" hidden="false" customHeight="false" outlineLevel="0" collapsed="false">
      <c r="B206" s="7"/>
      <c r="E206" s="7"/>
    </row>
    <row r="207" customFormat="false" ht="13.8" hidden="false" customHeight="false" outlineLevel="0" collapsed="false">
      <c r="B207" s="7"/>
      <c r="E207" s="7"/>
    </row>
    <row r="208" customFormat="false" ht="13.8" hidden="false" customHeight="false" outlineLevel="0" collapsed="false">
      <c r="B208" s="7"/>
      <c r="E208" s="7"/>
    </row>
    <row r="209" customFormat="false" ht="13.8" hidden="false" customHeight="false" outlineLevel="0" collapsed="false">
      <c r="B209" s="7"/>
      <c r="E209" s="7"/>
    </row>
    <row r="210" customFormat="false" ht="13.8" hidden="false" customHeight="false" outlineLevel="0" collapsed="false">
      <c r="B210" s="7"/>
      <c r="E210" s="7"/>
    </row>
    <row r="211" customFormat="false" ht="13.8" hidden="false" customHeight="false" outlineLevel="0" collapsed="false">
      <c r="B211" s="7"/>
      <c r="E211" s="7"/>
    </row>
    <row r="212" customFormat="false" ht="13.8" hidden="false" customHeight="false" outlineLevel="0" collapsed="false">
      <c r="B212" s="7"/>
      <c r="E212" s="7"/>
    </row>
    <row r="213" customFormat="false" ht="13.8" hidden="false" customHeight="false" outlineLevel="0" collapsed="false">
      <c r="B213" s="7"/>
      <c r="E213" s="7"/>
    </row>
    <row r="214" customFormat="false" ht="13.8" hidden="false" customHeight="false" outlineLevel="0" collapsed="false">
      <c r="B214" s="7"/>
      <c r="E214" s="7"/>
    </row>
    <row r="215" customFormat="false" ht="13.8" hidden="false" customHeight="false" outlineLevel="0" collapsed="false">
      <c r="B215" s="7"/>
      <c r="E215" s="7"/>
    </row>
    <row r="216" customFormat="false" ht="13.8" hidden="false" customHeight="false" outlineLevel="0" collapsed="false">
      <c r="B216" s="7"/>
      <c r="E216" s="7"/>
    </row>
    <row r="217" customFormat="false" ht="13.8" hidden="false" customHeight="false" outlineLevel="0" collapsed="false">
      <c r="B217" s="7"/>
      <c r="E217" s="7"/>
    </row>
    <row r="218" customFormat="false" ht="13.8" hidden="false" customHeight="false" outlineLevel="0" collapsed="false">
      <c r="B218" s="7"/>
      <c r="E218" s="7"/>
    </row>
    <row r="219" customFormat="false" ht="13.8" hidden="false" customHeight="false" outlineLevel="0" collapsed="false">
      <c r="B219" s="7"/>
      <c r="E219" s="7"/>
    </row>
    <row r="220" customFormat="false" ht="13.8" hidden="false" customHeight="false" outlineLevel="0" collapsed="false">
      <c r="B220" s="7"/>
      <c r="E220" s="7"/>
    </row>
    <row r="221" customFormat="false" ht="13.8" hidden="false" customHeight="false" outlineLevel="0" collapsed="false">
      <c r="B221" s="7"/>
      <c r="E221" s="7"/>
    </row>
    <row r="222" customFormat="false" ht="13.8" hidden="false" customHeight="false" outlineLevel="0" collapsed="false">
      <c r="B222" s="7"/>
      <c r="E222" s="7"/>
    </row>
    <row r="223" customFormat="false" ht="13.8" hidden="false" customHeight="false" outlineLevel="0" collapsed="false">
      <c r="B223" s="7"/>
      <c r="E223" s="7"/>
    </row>
    <row r="224" customFormat="false" ht="13.8" hidden="false" customHeight="false" outlineLevel="0" collapsed="false">
      <c r="B224" s="7"/>
      <c r="E224" s="7"/>
    </row>
    <row r="225" customFormat="false" ht="13.8" hidden="false" customHeight="false" outlineLevel="0" collapsed="false">
      <c r="B225" s="7"/>
      <c r="E225" s="7"/>
    </row>
    <row r="226" customFormat="false" ht="13.8" hidden="false" customHeight="false" outlineLevel="0" collapsed="false">
      <c r="B226" s="7"/>
      <c r="E226" s="7"/>
    </row>
    <row r="227" customFormat="false" ht="13.8" hidden="false" customHeight="false" outlineLevel="0" collapsed="false">
      <c r="B227" s="7"/>
      <c r="E227" s="7"/>
    </row>
    <row r="228" customFormat="false" ht="13.8" hidden="false" customHeight="false" outlineLevel="0" collapsed="false">
      <c r="B228" s="7"/>
      <c r="E228" s="7"/>
    </row>
    <row r="229" customFormat="false" ht="13.8" hidden="false" customHeight="false" outlineLevel="0" collapsed="false">
      <c r="B229" s="7"/>
      <c r="E229" s="7"/>
    </row>
    <row r="230" customFormat="false" ht="13.8" hidden="false" customHeight="false" outlineLevel="0" collapsed="false">
      <c r="B230" s="7"/>
      <c r="E230" s="7"/>
    </row>
    <row r="231" customFormat="false" ht="13.8" hidden="false" customHeight="false" outlineLevel="0" collapsed="false">
      <c r="B231" s="7"/>
      <c r="E231" s="7"/>
    </row>
    <row r="232" customFormat="false" ht="13.8" hidden="false" customHeight="false" outlineLevel="0" collapsed="false">
      <c r="B232" s="7"/>
      <c r="E232" s="7"/>
    </row>
    <row r="233" customFormat="false" ht="13.8" hidden="false" customHeight="false" outlineLevel="0" collapsed="false">
      <c r="B233" s="7"/>
      <c r="E233" s="7"/>
    </row>
    <row r="234" customFormat="false" ht="13.8" hidden="false" customHeight="false" outlineLevel="0" collapsed="false">
      <c r="B234" s="7"/>
      <c r="E234" s="7"/>
    </row>
    <row r="235" customFormat="false" ht="13.8" hidden="false" customHeight="false" outlineLevel="0" collapsed="false">
      <c r="B235" s="7"/>
      <c r="E235" s="7"/>
    </row>
    <row r="236" customFormat="false" ht="13.8" hidden="false" customHeight="false" outlineLevel="0" collapsed="false">
      <c r="B236" s="7"/>
      <c r="E236" s="7"/>
    </row>
    <row r="237" customFormat="false" ht="13.8" hidden="false" customHeight="false" outlineLevel="0" collapsed="false">
      <c r="B237" s="7"/>
      <c r="E237" s="7"/>
    </row>
    <row r="238" customFormat="false" ht="13.8" hidden="false" customHeight="false" outlineLevel="0" collapsed="false">
      <c r="B238" s="7"/>
      <c r="E238" s="7"/>
    </row>
    <row r="239" customFormat="false" ht="13.8" hidden="false" customHeight="false" outlineLevel="0" collapsed="false">
      <c r="B239" s="7"/>
      <c r="E239" s="7"/>
    </row>
    <row r="240" customFormat="false" ht="13.8" hidden="false" customHeight="false" outlineLevel="0" collapsed="false">
      <c r="B240" s="7"/>
      <c r="E240" s="7"/>
    </row>
    <row r="241" customFormat="false" ht="13.8" hidden="false" customHeight="false" outlineLevel="0" collapsed="false">
      <c r="B241" s="7"/>
      <c r="E241" s="7"/>
    </row>
    <row r="242" customFormat="false" ht="13.8" hidden="false" customHeight="false" outlineLevel="0" collapsed="false">
      <c r="B242" s="7"/>
      <c r="E242" s="7"/>
    </row>
    <row r="243" customFormat="false" ht="13.8" hidden="false" customHeight="false" outlineLevel="0" collapsed="false">
      <c r="B243" s="7"/>
      <c r="E243" s="7"/>
    </row>
    <row r="244" customFormat="false" ht="13.8" hidden="false" customHeight="false" outlineLevel="0" collapsed="false">
      <c r="B244" s="7"/>
      <c r="E244" s="7"/>
    </row>
    <row r="245" customFormat="false" ht="13.8" hidden="false" customHeight="false" outlineLevel="0" collapsed="false">
      <c r="B245" s="7"/>
      <c r="E245" s="7"/>
    </row>
    <row r="246" customFormat="false" ht="13.8" hidden="false" customHeight="false" outlineLevel="0" collapsed="false">
      <c r="B246" s="7"/>
      <c r="E246" s="7"/>
    </row>
    <row r="247" customFormat="false" ht="13.8" hidden="false" customHeight="false" outlineLevel="0" collapsed="false">
      <c r="B247" s="7"/>
      <c r="E247" s="7"/>
    </row>
    <row r="248" customFormat="false" ht="13.8" hidden="false" customHeight="false" outlineLevel="0" collapsed="false">
      <c r="B248" s="7"/>
      <c r="E248" s="7"/>
    </row>
    <row r="249" customFormat="false" ht="13.8" hidden="false" customHeight="false" outlineLevel="0" collapsed="false">
      <c r="B249" s="7"/>
      <c r="E249" s="7"/>
    </row>
    <row r="250" customFormat="false" ht="13.8" hidden="false" customHeight="false" outlineLevel="0" collapsed="false">
      <c r="B250" s="7"/>
      <c r="E250" s="7"/>
    </row>
    <row r="251" customFormat="false" ht="13.8" hidden="false" customHeight="false" outlineLevel="0" collapsed="false">
      <c r="B251" s="7"/>
      <c r="E251" s="7"/>
    </row>
    <row r="252" customFormat="false" ht="13.8" hidden="false" customHeight="false" outlineLevel="0" collapsed="false">
      <c r="B252" s="7"/>
      <c r="E252" s="7"/>
    </row>
    <row r="253" customFormat="false" ht="13.8" hidden="false" customHeight="false" outlineLevel="0" collapsed="false">
      <c r="B253" s="7"/>
      <c r="E253" s="7"/>
    </row>
    <row r="254" customFormat="false" ht="13.8" hidden="false" customHeight="false" outlineLevel="0" collapsed="false">
      <c r="B254" s="7"/>
      <c r="E254" s="7"/>
    </row>
    <row r="255" customFormat="false" ht="13.8" hidden="false" customHeight="false" outlineLevel="0" collapsed="false">
      <c r="B255" s="7"/>
      <c r="E255" s="7"/>
    </row>
    <row r="256" customFormat="false" ht="13.8" hidden="false" customHeight="false" outlineLevel="0" collapsed="false">
      <c r="B256" s="7"/>
      <c r="E256" s="7"/>
    </row>
    <row r="257" customFormat="false" ht="13.8" hidden="false" customHeight="false" outlineLevel="0" collapsed="false">
      <c r="B257" s="7"/>
      <c r="E257" s="7"/>
    </row>
    <row r="258" customFormat="false" ht="13.8" hidden="false" customHeight="false" outlineLevel="0" collapsed="false">
      <c r="B258" s="7"/>
      <c r="E258" s="7"/>
    </row>
    <row r="259" customFormat="false" ht="13.8" hidden="false" customHeight="false" outlineLevel="0" collapsed="false">
      <c r="B259" s="7"/>
      <c r="E259" s="7"/>
    </row>
    <row r="260" customFormat="false" ht="13.8" hidden="false" customHeight="false" outlineLevel="0" collapsed="false">
      <c r="B260" s="7"/>
      <c r="E260" s="7"/>
    </row>
    <row r="261" customFormat="false" ht="13.8" hidden="false" customHeight="false" outlineLevel="0" collapsed="false">
      <c r="B261" s="7"/>
      <c r="E261" s="7"/>
    </row>
    <row r="262" customFormat="false" ht="13.8" hidden="false" customHeight="false" outlineLevel="0" collapsed="false">
      <c r="B262" s="7"/>
      <c r="E262" s="7"/>
    </row>
    <row r="263" customFormat="false" ht="13.8" hidden="false" customHeight="false" outlineLevel="0" collapsed="false">
      <c r="B263" s="7"/>
      <c r="E263" s="7"/>
    </row>
    <row r="264" customFormat="false" ht="13.8" hidden="false" customHeight="false" outlineLevel="0" collapsed="false">
      <c r="B264" s="7"/>
      <c r="E264" s="7"/>
    </row>
    <row r="265" customFormat="false" ht="13.8" hidden="false" customHeight="false" outlineLevel="0" collapsed="false">
      <c r="B265" s="7"/>
      <c r="E265" s="7"/>
    </row>
    <row r="266" customFormat="false" ht="13.8" hidden="false" customHeight="false" outlineLevel="0" collapsed="false">
      <c r="B266" s="7"/>
      <c r="E266" s="7"/>
    </row>
    <row r="267" customFormat="false" ht="13.8" hidden="false" customHeight="false" outlineLevel="0" collapsed="false">
      <c r="B267" s="7"/>
      <c r="E267" s="7"/>
    </row>
    <row r="268" customFormat="false" ht="13.8" hidden="false" customHeight="false" outlineLevel="0" collapsed="false">
      <c r="B268" s="7"/>
      <c r="E268" s="7"/>
    </row>
    <row r="269" customFormat="false" ht="13.8" hidden="false" customHeight="false" outlineLevel="0" collapsed="false">
      <c r="B269" s="7"/>
      <c r="E269" s="7"/>
    </row>
    <row r="270" customFormat="false" ht="13.8" hidden="false" customHeight="false" outlineLevel="0" collapsed="false">
      <c r="B270" s="7"/>
      <c r="E270" s="7"/>
    </row>
    <row r="271" customFormat="false" ht="13.8" hidden="false" customHeight="false" outlineLevel="0" collapsed="false">
      <c r="B271" s="7"/>
      <c r="E271" s="7"/>
    </row>
    <row r="272" customFormat="false" ht="13.8" hidden="false" customHeight="false" outlineLevel="0" collapsed="false">
      <c r="B272" s="7"/>
      <c r="E272" s="7"/>
    </row>
    <row r="273" customFormat="false" ht="13.8" hidden="false" customHeight="false" outlineLevel="0" collapsed="false">
      <c r="B273" s="7"/>
      <c r="E273" s="7"/>
    </row>
    <row r="274" customFormat="false" ht="13.8" hidden="false" customHeight="false" outlineLevel="0" collapsed="false">
      <c r="B274" s="7"/>
      <c r="E274" s="7"/>
    </row>
    <row r="275" customFormat="false" ht="13.8" hidden="false" customHeight="false" outlineLevel="0" collapsed="false">
      <c r="B275" s="7"/>
      <c r="E275" s="7"/>
    </row>
    <row r="276" customFormat="false" ht="13.8" hidden="false" customHeight="false" outlineLevel="0" collapsed="false">
      <c r="B276" s="7"/>
      <c r="E276" s="7"/>
    </row>
    <row r="277" customFormat="false" ht="13.8" hidden="false" customHeight="false" outlineLevel="0" collapsed="false">
      <c r="B277" s="7"/>
      <c r="E277" s="7"/>
    </row>
    <row r="278" customFormat="false" ht="13.8" hidden="false" customHeight="false" outlineLevel="0" collapsed="false">
      <c r="B278" s="7"/>
      <c r="E278" s="7"/>
    </row>
    <row r="279" customFormat="false" ht="13.8" hidden="false" customHeight="false" outlineLevel="0" collapsed="false">
      <c r="B279" s="7"/>
      <c r="E279" s="7"/>
    </row>
    <row r="280" customFormat="false" ht="13.8" hidden="false" customHeight="false" outlineLevel="0" collapsed="false">
      <c r="B280" s="7"/>
      <c r="E280" s="7"/>
    </row>
    <row r="281" customFormat="false" ht="13.8" hidden="false" customHeight="false" outlineLevel="0" collapsed="false">
      <c r="B281" s="7"/>
      <c r="E281" s="7"/>
    </row>
    <row r="282" customFormat="false" ht="13.8" hidden="false" customHeight="false" outlineLevel="0" collapsed="false">
      <c r="B282" s="7"/>
      <c r="E282" s="7"/>
    </row>
    <row r="283" customFormat="false" ht="13.8" hidden="false" customHeight="false" outlineLevel="0" collapsed="false">
      <c r="B283" s="7"/>
      <c r="E283" s="7"/>
    </row>
    <row r="284" customFormat="false" ht="13.8" hidden="false" customHeight="false" outlineLevel="0" collapsed="false">
      <c r="B284" s="7"/>
      <c r="E284" s="7"/>
    </row>
    <row r="285" customFormat="false" ht="13.8" hidden="false" customHeight="false" outlineLevel="0" collapsed="false">
      <c r="B285" s="7"/>
      <c r="E285" s="7"/>
    </row>
    <row r="286" customFormat="false" ht="13.8" hidden="false" customHeight="false" outlineLevel="0" collapsed="false">
      <c r="B286" s="7"/>
      <c r="E286" s="7"/>
    </row>
    <row r="287" customFormat="false" ht="13.8" hidden="false" customHeight="false" outlineLevel="0" collapsed="false">
      <c r="B287" s="7"/>
      <c r="E287" s="7"/>
    </row>
    <row r="288" customFormat="false" ht="13.8" hidden="false" customHeight="false" outlineLevel="0" collapsed="false">
      <c r="B288" s="7"/>
      <c r="E288" s="7"/>
    </row>
    <row r="289" customFormat="false" ht="13.8" hidden="false" customHeight="false" outlineLevel="0" collapsed="false">
      <c r="B289" s="7"/>
      <c r="E289" s="7"/>
    </row>
    <row r="290" customFormat="false" ht="13.8" hidden="false" customHeight="false" outlineLevel="0" collapsed="false">
      <c r="B290" s="7"/>
      <c r="E290" s="7"/>
    </row>
    <row r="291" customFormat="false" ht="13.8" hidden="false" customHeight="false" outlineLevel="0" collapsed="false">
      <c r="B291" s="7"/>
      <c r="E291" s="7"/>
    </row>
    <row r="292" customFormat="false" ht="13.8" hidden="false" customHeight="false" outlineLevel="0" collapsed="false">
      <c r="B292" s="7"/>
      <c r="E292" s="7"/>
    </row>
    <row r="293" customFormat="false" ht="13.8" hidden="false" customHeight="false" outlineLevel="0" collapsed="false">
      <c r="B293" s="7"/>
      <c r="E293" s="7"/>
    </row>
    <row r="294" customFormat="false" ht="13.8" hidden="false" customHeight="false" outlineLevel="0" collapsed="false">
      <c r="B294" s="7"/>
      <c r="E294" s="7"/>
    </row>
    <row r="295" customFormat="false" ht="13.8" hidden="false" customHeight="false" outlineLevel="0" collapsed="false">
      <c r="B295" s="7"/>
      <c r="E295" s="7"/>
    </row>
    <row r="296" customFormat="false" ht="13.8" hidden="false" customHeight="false" outlineLevel="0" collapsed="false">
      <c r="B296" s="7"/>
      <c r="E296" s="7"/>
    </row>
    <row r="297" customFormat="false" ht="13.8" hidden="false" customHeight="false" outlineLevel="0" collapsed="false">
      <c r="B297" s="7"/>
      <c r="E297" s="7"/>
    </row>
    <row r="298" customFormat="false" ht="13.8" hidden="false" customHeight="false" outlineLevel="0" collapsed="false">
      <c r="B298" s="7"/>
      <c r="E298" s="7"/>
    </row>
    <row r="299" customFormat="false" ht="13.8" hidden="false" customHeight="false" outlineLevel="0" collapsed="false">
      <c r="B299" s="7"/>
      <c r="E299" s="7"/>
    </row>
    <row r="300" customFormat="false" ht="13.8" hidden="false" customHeight="false" outlineLevel="0" collapsed="false">
      <c r="B300" s="7"/>
      <c r="E300" s="7"/>
    </row>
    <row r="301" customFormat="false" ht="13.8" hidden="false" customHeight="false" outlineLevel="0" collapsed="false">
      <c r="B301" s="7"/>
      <c r="E301" s="7"/>
    </row>
    <row r="302" customFormat="false" ht="13.8" hidden="false" customHeight="false" outlineLevel="0" collapsed="false">
      <c r="B302" s="7"/>
      <c r="E302" s="7"/>
    </row>
    <row r="303" customFormat="false" ht="13.8" hidden="false" customHeight="false" outlineLevel="0" collapsed="false">
      <c r="B303" s="7"/>
      <c r="E303" s="7"/>
    </row>
    <row r="304" customFormat="false" ht="13.8" hidden="false" customHeight="false" outlineLevel="0" collapsed="false">
      <c r="B304" s="7"/>
      <c r="E304" s="7"/>
    </row>
    <row r="305" customFormat="false" ht="13.8" hidden="false" customHeight="false" outlineLevel="0" collapsed="false">
      <c r="B305" s="7"/>
      <c r="E305" s="7"/>
    </row>
    <row r="306" customFormat="false" ht="13.8" hidden="false" customHeight="false" outlineLevel="0" collapsed="false">
      <c r="B306" s="7"/>
      <c r="E306" s="7"/>
    </row>
    <row r="307" customFormat="false" ht="13.8" hidden="false" customHeight="false" outlineLevel="0" collapsed="false">
      <c r="B307" s="7"/>
      <c r="E307" s="7"/>
    </row>
    <row r="308" customFormat="false" ht="13.8" hidden="false" customHeight="false" outlineLevel="0" collapsed="false">
      <c r="B308" s="7"/>
      <c r="E308" s="7"/>
    </row>
    <row r="309" customFormat="false" ht="13.8" hidden="false" customHeight="false" outlineLevel="0" collapsed="false">
      <c r="B309" s="7"/>
      <c r="E309" s="7"/>
    </row>
    <row r="310" customFormat="false" ht="13.8" hidden="false" customHeight="false" outlineLevel="0" collapsed="false">
      <c r="B310" s="7"/>
      <c r="E310" s="7"/>
    </row>
    <row r="311" customFormat="false" ht="13.8" hidden="false" customHeight="false" outlineLevel="0" collapsed="false">
      <c r="B311" s="7"/>
      <c r="E311" s="7"/>
    </row>
    <row r="312" customFormat="false" ht="13.8" hidden="false" customHeight="false" outlineLevel="0" collapsed="false">
      <c r="B312" s="7"/>
      <c r="E312" s="7"/>
    </row>
    <row r="313" customFormat="false" ht="13.8" hidden="false" customHeight="false" outlineLevel="0" collapsed="false">
      <c r="B313" s="7"/>
      <c r="E313" s="7"/>
    </row>
    <row r="314" customFormat="false" ht="13.8" hidden="false" customHeight="false" outlineLevel="0" collapsed="false">
      <c r="B314" s="7"/>
      <c r="E314" s="7"/>
    </row>
    <row r="315" customFormat="false" ht="13.8" hidden="false" customHeight="false" outlineLevel="0" collapsed="false">
      <c r="B315" s="7"/>
      <c r="E315" s="7"/>
    </row>
    <row r="316" customFormat="false" ht="13.8" hidden="false" customHeight="false" outlineLevel="0" collapsed="false">
      <c r="B316" s="7"/>
      <c r="E316" s="7"/>
    </row>
    <row r="317" customFormat="false" ht="13.8" hidden="false" customHeight="false" outlineLevel="0" collapsed="false">
      <c r="B317" s="7"/>
      <c r="E317" s="7"/>
    </row>
    <row r="318" customFormat="false" ht="13.8" hidden="false" customHeight="false" outlineLevel="0" collapsed="false">
      <c r="B318" s="7"/>
      <c r="E318" s="7"/>
    </row>
    <row r="319" customFormat="false" ht="13.8" hidden="false" customHeight="false" outlineLevel="0" collapsed="false">
      <c r="B319" s="7"/>
      <c r="E319" s="7"/>
    </row>
    <row r="320" customFormat="false" ht="13.8" hidden="false" customHeight="false" outlineLevel="0" collapsed="false">
      <c r="B320" s="7"/>
      <c r="E320" s="7"/>
    </row>
    <row r="321" customFormat="false" ht="13.8" hidden="false" customHeight="false" outlineLevel="0" collapsed="false">
      <c r="B321" s="7"/>
      <c r="E321" s="7"/>
    </row>
    <row r="322" customFormat="false" ht="13.8" hidden="false" customHeight="false" outlineLevel="0" collapsed="false">
      <c r="B322" s="7"/>
      <c r="E322" s="7"/>
    </row>
    <row r="323" customFormat="false" ht="13.8" hidden="false" customHeight="false" outlineLevel="0" collapsed="false">
      <c r="B323" s="7"/>
      <c r="E323" s="7"/>
    </row>
    <row r="324" customFormat="false" ht="13.8" hidden="false" customHeight="false" outlineLevel="0" collapsed="false">
      <c r="B324" s="7"/>
      <c r="E324" s="7"/>
    </row>
    <row r="325" customFormat="false" ht="13.8" hidden="false" customHeight="false" outlineLevel="0" collapsed="false">
      <c r="B325" s="7"/>
      <c r="E325" s="7"/>
    </row>
    <row r="326" customFormat="false" ht="13.8" hidden="false" customHeight="false" outlineLevel="0" collapsed="false">
      <c r="B326" s="7"/>
      <c r="E326" s="7"/>
    </row>
    <row r="327" customFormat="false" ht="13.8" hidden="false" customHeight="false" outlineLevel="0" collapsed="false">
      <c r="B327" s="7"/>
      <c r="E327" s="7"/>
    </row>
    <row r="328" customFormat="false" ht="13.8" hidden="false" customHeight="false" outlineLevel="0" collapsed="false">
      <c r="B328" s="7"/>
      <c r="E328" s="7"/>
    </row>
    <row r="329" customFormat="false" ht="13.8" hidden="false" customHeight="false" outlineLevel="0" collapsed="false">
      <c r="B329" s="7"/>
      <c r="E329" s="7"/>
    </row>
    <row r="330" customFormat="false" ht="13.8" hidden="false" customHeight="false" outlineLevel="0" collapsed="false">
      <c r="B330" s="7"/>
      <c r="E330" s="7"/>
    </row>
    <row r="331" customFormat="false" ht="13.8" hidden="false" customHeight="false" outlineLevel="0" collapsed="false">
      <c r="B331" s="7"/>
      <c r="E331" s="7"/>
    </row>
    <row r="332" customFormat="false" ht="13.8" hidden="false" customHeight="false" outlineLevel="0" collapsed="false">
      <c r="B332" s="7"/>
      <c r="E332" s="7"/>
    </row>
    <row r="333" customFormat="false" ht="13.8" hidden="false" customHeight="false" outlineLevel="0" collapsed="false">
      <c r="B333" s="7"/>
      <c r="E333" s="7"/>
    </row>
    <row r="334" customFormat="false" ht="13.8" hidden="false" customHeight="false" outlineLevel="0" collapsed="false">
      <c r="B334" s="7"/>
      <c r="E334" s="7"/>
    </row>
    <row r="335" customFormat="false" ht="13.8" hidden="false" customHeight="false" outlineLevel="0" collapsed="false">
      <c r="B335" s="7"/>
      <c r="E335" s="7"/>
    </row>
    <row r="336" customFormat="false" ht="13.8" hidden="false" customHeight="false" outlineLevel="0" collapsed="false">
      <c r="B336" s="7"/>
      <c r="E336" s="7"/>
    </row>
    <row r="337" customFormat="false" ht="13.8" hidden="false" customHeight="false" outlineLevel="0" collapsed="false">
      <c r="B337" s="7"/>
      <c r="E337" s="7"/>
    </row>
    <row r="338" customFormat="false" ht="13.8" hidden="false" customHeight="false" outlineLevel="0" collapsed="false">
      <c r="B338" s="7"/>
      <c r="E338" s="7"/>
    </row>
    <row r="339" customFormat="false" ht="13.8" hidden="false" customHeight="false" outlineLevel="0" collapsed="false">
      <c r="B339" s="7"/>
      <c r="E339" s="7"/>
    </row>
    <row r="340" customFormat="false" ht="13.8" hidden="false" customHeight="false" outlineLevel="0" collapsed="false">
      <c r="B340" s="7"/>
      <c r="E340" s="7"/>
    </row>
    <row r="341" customFormat="false" ht="13.8" hidden="false" customHeight="false" outlineLevel="0" collapsed="false">
      <c r="B341" s="7"/>
      <c r="E341" s="7"/>
    </row>
    <row r="342" customFormat="false" ht="13.8" hidden="false" customHeight="false" outlineLevel="0" collapsed="false">
      <c r="B342" s="7"/>
      <c r="E342" s="7"/>
    </row>
    <row r="343" customFormat="false" ht="13.8" hidden="false" customHeight="false" outlineLevel="0" collapsed="false">
      <c r="B343" s="7"/>
      <c r="E343" s="7"/>
    </row>
    <row r="344" customFormat="false" ht="13.8" hidden="false" customHeight="false" outlineLevel="0" collapsed="false">
      <c r="B344" s="7"/>
      <c r="E344" s="7"/>
    </row>
    <row r="345" customFormat="false" ht="13.8" hidden="false" customHeight="false" outlineLevel="0" collapsed="false">
      <c r="B345" s="7"/>
      <c r="E345" s="7"/>
    </row>
    <row r="346" customFormat="false" ht="13.8" hidden="false" customHeight="false" outlineLevel="0" collapsed="false">
      <c r="B346" s="7"/>
      <c r="E346" s="7"/>
    </row>
    <row r="347" customFormat="false" ht="13.8" hidden="false" customHeight="false" outlineLevel="0" collapsed="false">
      <c r="B347" s="7"/>
      <c r="E347" s="7"/>
    </row>
    <row r="348" customFormat="false" ht="13.8" hidden="false" customHeight="false" outlineLevel="0" collapsed="false">
      <c r="B348" s="7"/>
      <c r="E348" s="7"/>
    </row>
    <row r="349" customFormat="false" ht="13.8" hidden="false" customHeight="false" outlineLevel="0" collapsed="false">
      <c r="B349" s="7"/>
      <c r="E349" s="7"/>
    </row>
    <row r="350" customFormat="false" ht="13.8" hidden="false" customHeight="false" outlineLevel="0" collapsed="false">
      <c r="B350" s="7"/>
      <c r="E350" s="7"/>
    </row>
    <row r="351" customFormat="false" ht="13.8" hidden="false" customHeight="false" outlineLevel="0" collapsed="false">
      <c r="B351" s="7"/>
      <c r="E351" s="7"/>
    </row>
    <row r="352" customFormat="false" ht="13.8" hidden="false" customHeight="false" outlineLevel="0" collapsed="false">
      <c r="B352" s="7"/>
      <c r="E352" s="7"/>
    </row>
    <row r="353" customFormat="false" ht="13.8" hidden="false" customHeight="false" outlineLevel="0" collapsed="false">
      <c r="B353" s="7"/>
      <c r="E353" s="7"/>
    </row>
    <row r="354" customFormat="false" ht="13.8" hidden="false" customHeight="false" outlineLevel="0" collapsed="false">
      <c r="B354" s="7"/>
      <c r="E354" s="7"/>
    </row>
    <row r="355" customFormat="false" ht="13.8" hidden="false" customHeight="false" outlineLevel="0" collapsed="false">
      <c r="B355" s="7"/>
      <c r="E355" s="7"/>
    </row>
    <row r="356" customFormat="false" ht="13.8" hidden="false" customHeight="false" outlineLevel="0" collapsed="false">
      <c r="B356" s="7"/>
      <c r="E356" s="7"/>
    </row>
    <row r="357" customFormat="false" ht="13.8" hidden="false" customHeight="false" outlineLevel="0" collapsed="false">
      <c r="B357" s="7"/>
      <c r="E357" s="7"/>
    </row>
    <row r="358" customFormat="false" ht="13.8" hidden="false" customHeight="false" outlineLevel="0" collapsed="false">
      <c r="B358" s="7"/>
      <c r="E358" s="7"/>
    </row>
    <row r="359" customFormat="false" ht="13.8" hidden="false" customHeight="false" outlineLevel="0" collapsed="false">
      <c r="B359" s="7"/>
      <c r="E359" s="7"/>
    </row>
    <row r="360" customFormat="false" ht="13.8" hidden="false" customHeight="false" outlineLevel="0" collapsed="false">
      <c r="B360" s="7"/>
      <c r="E360" s="7"/>
    </row>
    <row r="361" customFormat="false" ht="13.8" hidden="false" customHeight="false" outlineLevel="0" collapsed="false">
      <c r="B361" s="7"/>
      <c r="E361" s="7"/>
    </row>
    <row r="362" customFormat="false" ht="13.8" hidden="false" customHeight="false" outlineLevel="0" collapsed="false">
      <c r="B362" s="7"/>
      <c r="E362" s="7"/>
    </row>
    <row r="363" customFormat="false" ht="13.8" hidden="false" customHeight="false" outlineLevel="0" collapsed="false">
      <c r="B363" s="7"/>
      <c r="E363" s="7"/>
    </row>
    <row r="364" customFormat="false" ht="13.8" hidden="false" customHeight="false" outlineLevel="0" collapsed="false">
      <c r="B364" s="7"/>
      <c r="E364" s="7"/>
    </row>
    <row r="365" customFormat="false" ht="13.8" hidden="false" customHeight="false" outlineLevel="0" collapsed="false">
      <c r="B365" s="7"/>
      <c r="E365" s="7"/>
    </row>
    <row r="366" customFormat="false" ht="13.8" hidden="false" customHeight="false" outlineLevel="0" collapsed="false">
      <c r="B366" s="7"/>
      <c r="E366" s="7"/>
    </row>
    <row r="367" customFormat="false" ht="13.8" hidden="false" customHeight="false" outlineLevel="0" collapsed="false">
      <c r="B367" s="7"/>
      <c r="E367" s="7"/>
    </row>
    <row r="368" customFormat="false" ht="13.8" hidden="false" customHeight="false" outlineLevel="0" collapsed="false">
      <c r="B368" s="7"/>
      <c r="E368" s="7"/>
    </row>
    <row r="369" customFormat="false" ht="13.8" hidden="false" customHeight="false" outlineLevel="0" collapsed="false">
      <c r="B369" s="7"/>
      <c r="E369" s="7"/>
    </row>
    <row r="370" customFormat="false" ht="13.8" hidden="false" customHeight="false" outlineLevel="0" collapsed="false">
      <c r="B370" s="7"/>
      <c r="E370" s="7"/>
    </row>
    <row r="371" customFormat="false" ht="13.8" hidden="false" customHeight="false" outlineLevel="0" collapsed="false">
      <c r="B371" s="7"/>
      <c r="E371" s="7"/>
    </row>
    <row r="372" customFormat="false" ht="13.8" hidden="false" customHeight="false" outlineLevel="0" collapsed="false">
      <c r="B372" s="7"/>
      <c r="E372" s="7"/>
    </row>
    <row r="373" customFormat="false" ht="13.8" hidden="false" customHeight="false" outlineLevel="0" collapsed="false">
      <c r="B373" s="7"/>
      <c r="E373" s="7"/>
    </row>
    <row r="374" customFormat="false" ht="13.8" hidden="false" customHeight="false" outlineLevel="0" collapsed="false">
      <c r="B374" s="7"/>
      <c r="E374" s="7"/>
    </row>
    <row r="375" customFormat="false" ht="13.8" hidden="false" customHeight="false" outlineLevel="0" collapsed="false">
      <c r="B375" s="7"/>
      <c r="E375" s="7"/>
    </row>
    <row r="376" customFormat="false" ht="13.8" hidden="false" customHeight="false" outlineLevel="0" collapsed="false">
      <c r="B376" s="7"/>
      <c r="E376" s="7"/>
    </row>
    <row r="377" customFormat="false" ht="13.8" hidden="false" customHeight="false" outlineLevel="0" collapsed="false">
      <c r="B377" s="7"/>
      <c r="E377" s="7"/>
    </row>
    <row r="378" customFormat="false" ht="13.8" hidden="false" customHeight="false" outlineLevel="0" collapsed="false">
      <c r="B378" s="7"/>
      <c r="E378" s="7"/>
    </row>
    <row r="379" customFormat="false" ht="13.8" hidden="false" customHeight="false" outlineLevel="0" collapsed="false">
      <c r="B379" s="7"/>
      <c r="E379" s="7"/>
    </row>
    <row r="380" customFormat="false" ht="13.8" hidden="false" customHeight="false" outlineLevel="0" collapsed="false">
      <c r="B380" s="7"/>
      <c r="E380" s="7"/>
    </row>
    <row r="381" customFormat="false" ht="13.8" hidden="false" customHeight="false" outlineLevel="0" collapsed="false">
      <c r="B381" s="7"/>
      <c r="E381" s="7"/>
    </row>
    <row r="382" customFormat="false" ht="13.8" hidden="false" customHeight="false" outlineLevel="0" collapsed="false">
      <c r="B382" s="7"/>
      <c r="E382" s="7"/>
    </row>
    <row r="383" customFormat="false" ht="13.8" hidden="false" customHeight="false" outlineLevel="0" collapsed="false">
      <c r="B383" s="7"/>
      <c r="E383" s="7"/>
    </row>
    <row r="384" customFormat="false" ht="13.8" hidden="false" customHeight="false" outlineLevel="0" collapsed="false">
      <c r="B384" s="7"/>
      <c r="E384" s="7"/>
    </row>
    <row r="385" customFormat="false" ht="13.8" hidden="false" customHeight="false" outlineLevel="0" collapsed="false">
      <c r="B385" s="7"/>
      <c r="E385" s="7"/>
    </row>
    <row r="386" customFormat="false" ht="13.8" hidden="false" customHeight="false" outlineLevel="0" collapsed="false">
      <c r="B386" s="7"/>
      <c r="E386" s="7"/>
    </row>
    <row r="387" customFormat="false" ht="13.8" hidden="false" customHeight="false" outlineLevel="0" collapsed="false">
      <c r="B387" s="7"/>
      <c r="E387" s="7"/>
    </row>
    <row r="388" customFormat="false" ht="13.8" hidden="false" customHeight="false" outlineLevel="0" collapsed="false">
      <c r="B388" s="7"/>
      <c r="E388" s="7"/>
    </row>
    <row r="389" customFormat="false" ht="13.8" hidden="false" customHeight="false" outlineLevel="0" collapsed="false">
      <c r="B389" s="7"/>
      <c r="E389" s="7"/>
    </row>
    <row r="390" customFormat="false" ht="13.8" hidden="false" customHeight="false" outlineLevel="0" collapsed="false">
      <c r="B390" s="7"/>
      <c r="E390" s="7"/>
    </row>
    <row r="391" customFormat="false" ht="13.8" hidden="false" customHeight="false" outlineLevel="0" collapsed="false">
      <c r="B391" s="7"/>
      <c r="E391" s="7"/>
    </row>
    <row r="392" customFormat="false" ht="13.8" hidden="false" customHeight="false" outlineLevel="0" collapsed="false">
      <c r="B392" s="7"/>
      <c r="E392" s="7"/>
    </row>
    <row r="393" customFormat="false" ht="13.8" hidden="false" customHeight="false" outlineLevel="0" collapsed="false">
      <c r="B393" s="7"/>
      <c r="E393" s="7"/>
    </row>
    <row r="394" customFormat="false" ht="13.8" hidden="false" customHeight="false" outlineLevel="0" collapsed="false">
      <c r="B394" s="7"/>
      <c r="E394" s="7"/>
    </row>
    <row r="395" customFormat="false" ht="13.8" hidden="false" customHeight="false" outlineLevel="0" collapsed="false">
      <c r="B395" s="7"/>
      <c r="E395" s="7"/>
    </row>
    <row r="396" customFormat="false" ht="13.8" hidden="false" customHeight="false" outlineLevel="0" collapsed="false">
      <c r="B396" s="7"/>
      <c r="E396" s="7"/>
    </row>
    <row r="397" customFormat="false" ht="13.8" hidden="false" customHeight="false" outlineLevel="0" collapsed="false">
      <c r="B397" s="7"/>
      <c r="E397" s="7"/>
    </row>
    <row r="398" customFormat="false" ht="13.8" hidden="false" customHeight="false" outlineLevel="0" collapsed="false">
      <c r="B398" s="7"/>
      <c r="E398" s="7"/>
    </row>
    <row r="399" customFormat="false" ht="13.8" hidden="false" customHeight="false" outlineLevel="0" collapsed="false">
      <c r="B399" s="7"/>
      <c r="E399" s="7"/>
    </row>
    <row r="400" customFormat="false" ht="13.8" hidden="false" customHeight="false" outlineLevel="0" collapsed="false">
      <c r="B400" s="7"/>
      <c r="E400" s="7"/>
    </row>
    <row r="401" customFormat="false" ht="13.8" hidden="false" customHeight="false" outlineLevel="0" collapsed="false">
      <c r="B401" s="7"/>
      <c r="E401" s="7"/>
    </row>
    <row r="402" customFormat="false" ht="13.8" hidden="false" customHeight="false" outlineLevel="0" collapsed="false">
      <c r="B402" s="7"/>
      <c r="E402" s="7"/>
    </row>
    <row r="403" customFormat="false" ht="13.8" hidden="false" customHeight="false" outlineLevel="0" collapsed="false">
      <c r="B403" s="7"/>
      <c r="E403" s="7"/>
    </row>
    <row r="404" customFormat="false" ht="13.8" hidden="false" customHeight="false" outlineLevel="0" collapsed="false">
      <c r="B404" s="7"/>
      <c r="E404" s="7"/>
    </row>
    <row r="405" customFormat="false" ht="13.8" hidden="false" customHeight="false" outlineLevel="0" collapsed="false">
      <c r="B405" s="7"/>
      <c r="E405" s="7"/>
    </row>
    <row r="406" customFormat="false" ht="13.8" hidden="false" customHeight="false" outlineLevel="0" collapsed="false">
      <c r="B406" s="7"/>
      <c r="E406" s="7"/>
    </row>
    <row r="407" customFormat="false" ht="13.8" hidden="false" customHeight="false" outlineLevel="0" collapsed="false">
      <c r="B407" s="7"/>
      <c r="E407" s="7"/>
    </row>
    <row r="408" customFormat="false" ht="13.8" hidden="false" customHeight="false" outlineLevel="0" collapsed="false">
      <c r="B408" s="7"/>
      <c r="E408" s="7"/>
    </row>
    <row r="409" customFormat="false" ht="13.8" hidden="false" customHeight="false" outlineLevel="0" collapsed="false">
      <c r="B409" s="7"/>
      <c r="E409" s="7"/>
    </row>
    <row r="410" customFormat="false" ht="13.8" hidden="false" customHeight="false" outlineLevel="0" collapsed="false">
      <c r="B410" s="7"/>
      <c r="E410" s="7"/>
    </row>
    <row r="411" customFormat="false" ht="13.8" hidden="false" customHeight="false" outlineLevel="0" collapsed="false">
      <c r="B411" s="7"/>
      <c r="E411" s="7"/>
    </row>
    <row r="412" customFormat="false" ht="13.8" hidden="false" customHeight="false" outlineLevel="0" collapsed="false">
      <c r="B412" s="7"/>
      <c r="E412" s="7"/>
    </row>
    <row r="413" customFormat="false" ht="13.8" hidden="false" customHeight="false" outlineLevel="0" collapsed="false">
      <c r="B413" s="7"/>
      <c r="E413" s="7"/>
    </row>
    <row r="414" customFormat="false" ht="13.8" hidden="false" customHeight="false" outlineLevel="0" collapsed="false">
      <c r="B414" s="7"/>
      <c r="E414" s="7"/>
    </row>
    <row r="415" customFormat="false" ht="13.8" hidden="false" customHeight="false" outlineLevel="0" collapsed="false">
      <c r="B415" s="7"/>
      <c r="E415" s="7"/>
    </row>
    <row r="416" customFormat="false" ht="13.8" hidden="false" customHeight="false" outlineLevel="0" collapsed="false">
      <c r="B416" s="7"/>
      <c r="E416" s="7"/>
    </row>
    <row r="417" customFormat="false" ht="13.8" hidden="false" customHeight="false" outlineLevel="0" collapsed="false">
      <c r="B417" s="7"/>
      <c r="E417" s="7"/>
    </row>
    <row r="418" customFormat="false" ht="13.8" hidden="false" customHeight="false" outlineLevel="0" collapsed="false">
      <c r="B418" s="7"/>
      <c r="E418" s="7"/>
    </row>
    <row r="419" customFormat="false" ht="13.8" hidden="false" customHeight="false" outlineLevel="0" collapsed="false">
      <c r="B419" s="7"/>
      <c r="E419" s="7"/>
    </row>
    <row r="420" customFormat="false" ht="13.8" hidden="false" customHeight="false" outlineLevel="0" collapsed="false">
      <c r="B420" s="7"/>
      <c r="E420" s="7"/>
    </row>
    <row r="421" customFormat="false" ht="13.8" hidden="false" customHeight="false" outlineLevel="0" collapsed="false">
      <c r="B421" s="7"/>
      <c r="E421" s="7"/>
    </row>
    <row r="422" customFormat="false" ht="13.8" hidden="false" customHeight="false" outlineLevel="0" collapsed="false">
      <c r="B422" s="7"/>
      <c r="E422" s="7"/>
    </row>
    <row r="423" customFormat="false" ht="13.8" hidden="false" customHeight="false" outlineLevel="0" collapsed="false">
      <c r="B423" s="7"/>
      <c r="E423" s="7"/>
    </row>
    <row r="424" customFormat="false" ht="13.8" hidden="false" customHeight="false" outlineLevel="0" collapsed="false">
      <c r="B424" s="7"/>
      <c r="E424" s="7"/>
    </row>
    <row r="425" customFormat="false" ht="13.8" hidden="false" customHeight="false" outlineLevel="0" collapsed="false">
      <c r="B425" s="7"/>
      <c r="E425" s="7"/>
    </row>
    <row r="426" customFormat="false" ht="13.8" hidden="false" customHeight="false" outlineLevel="0" collapsed="false">
      <c r="B426" s="7"/>
      <c r="E426" s="7"/>
    </row>
    <row r="427" customFormat="false" ht="13.8" hidden="false" customHeight="false" outlineLevel="0" collapsed="false">
      <c r="B427" s="7"/>
      <c r="E427" s="7"/>
    </row>
    <row r="428" customFormat="false" ht="13.8" hidden="false" customHeight="false" outlineLevel="0" collapsed="false">
      <c r="B428" s="7"/>
      <c r="E428" s="7"/>
    </row>
    <row r="429" customFormat="false" ht="13.8" hidden="false" customHeight="false" outlineLevel="0" collapsed="false">
      <c r="B429" s="7"/>
      <c r="E429" s="7"/>
    </row>
    <row r="430" customFormat="false" ht="13.8" hidden="false" customHeight="false" outlineLevel="0" collapsed="false">
      <c r="B430" s="7"/>
      <c r="E430" s="7"/>
    </row>
    <row r="431" customFormat="false" ht="13.8" hidden="false" customHeight="false" outlineLevel="0" collapsed="false">
      <c r="B431" s="7"/>
      <c r="E431" s="7"/>
    </row>
    <row r="432" customFormat="false" ht="13.8" hidden="false" customHeight="false" outlineLevel="0" collapsed="false">
      <c r="B432" s="7"/>
      <c r="E432" s="7"/>
    </row>
    <row r="433" customFormat="false" ht="13.8" hidden="false" customHeight="false" outlineLevel="0" collapsed="false">
      <c r="B433" s="7"/>
      <c r="E433" s="7"/>
    </row>
    <row r="434" customFormat="false" ht="13.8" hidden="false" customHeight="false" outlineLevel="0" collapsed="false">
      <c r="B434" s="7"/>
      <c r="E434" s="7"/>
    </row>
    <row r="435" customFormat="false" ht="13.8" hidden="false" customHeight="false" outlineLevel="0" collapsed="false">
      <c r="B435" s="7"/>
      <c r="E435" s="7"/>
    </row>
    <row r="436" customFormat="false" ht="13.8" hidden="false" customHeight="false" outlineLevel="0" collapsed="false">
      <c r="B436" s="7"/>
      <c r="E436" s="7"/>
    </row>
    <row r="437" customFormat="false" ht="13.8" hidden="false" customHeight="false" outlineLevel="0" collapsed="false">
      <c r="B437" s="7"/>
      <c r="E437" s="7"/>
    </row>
    <row r="438" customFormat="false" ht="13.8" hidden="false" customHeight="false" outlineLevel="0" collapsed="false">
      <c r="B438" s="7"/>
      <c r="E438" s="7"/>
    </row>
    <row r="439" customFormat="false" ht="13.8" hidden="false" customHeight="false" outlineLevel="0" collapsed="false">
      <c r="B439" s="7"/>
      <c r="E439" s="7"/>
    </row>
    <row r="440" customFormat="false" ht="13.8" hidden="false" customHeight="false" outlineLevel="0" collapsed="false">
      <c r="B440" s="7"/>
      <c r="E440" s="7"/>
    </row>
    <row r="441" customFormat="false" ht="13.8" hidden="false" customHeight="false" outlineLevel="0" collapsed="false">
      <c r="B441" s="7"/>
      <c r="E441" s="7"/>
    </row>
    <row r="442" customFormat="false" ht="13.8" hidden="false" customHeight="false" outlineLevel="0" collapsed="false">
      <c r="B442" s="7"/>
      <c r="E442" s="7"/>
    </row>
    <row r="443" customFormat="false" ht="13.8" hidden="false" customHeight="false" outlineLevel="0" collapsed="false">
      <c r="B443" s="7"/>
      <c r="E443" s="7"/>
    </row>
    <row r="444" customFormat="false" ht="13.8" hidden="false" customHeight="false" outlineLevel="0" collapsed="false">
      <c r="B444" s="7"/>
      <c r="E444" s="7"/>
    </row>
    <row r="445" customFormat="false" ht="13.8" hidden="false" customHeight="false" outlineLevel="0" collapsed="false">
      <c r="B445" s="7"/>
      <c r="E445" s="7"/>
    </row>
    <row r="446" customFormat="false" ht="13.8" hidden="false" customHeight="false" outlineLevel="0" collapsed="false">
      <c r="B446" s="7"/>
      <c r="E446" s="7"/>
    </row>
    <row r="447" customFormat="false" ht="13.8" hidden="false" customHeight="false" outlineLevel="0" collapsed="false">
      <c r="B447" s="7"/>
      <c r="E447" s="7"/>
    </row>
    <row r="448" customFormat="false" ht="13.8" hidden="false" customHeight="false" outlineLevel="0" collapsed="false">
      <c r="B448" s="7"/>
      <c r="E448" s="7"/>
    </row>
    <row r="449" customFormat="false" ht="13.8" hidden="false" customHeight="false" outlineLevel="0" collapsed="false">
      <c r="B449" s="7"/>
      <c r="E449" s="7"/>
    </row>
    <row r="450" customFormat="false" ht="13.8" hidden="false" customHeight="false" outlineLevel="0" collapsed="false">
      <c r="B450" s="7"/>
      <c r="E450" s="7"/>
    </row>
    <row r="451" customFormat="false" ht="13.8" hidden="false" customHeight="false" outlineLevel="0" collapsed="false">
      <c r="B451" s="7"/>
      <c r="E451" s="7"/>
    </row>
    <row r="452" customFormat="false" ht="13.8" hidden="false" customHeight="false" outlineLevel="0" collapsed="false">
      <c r="B452" s="7"/>
      <c r="E452" s="7"/>
    </row>
    <row r="453" customFormat="false" ht="13.8" hidden="false" customHeight="false" outlineLevel="0" collapsed="false">
      <c r="B453" s="7"/>
      <c r="E453" s="7"/>
    </row>
    <row r="454" customFormat="false" ht="13.8" hidden="false" customHeight="false" outlineLevel="0" collapsed="false">
      <c r="B454" s="7"/>
      <c r="E454" s="7"/>
    </row>
    <row r="455" customFormat="false" ht="13.8" hidden="false" customHeight="false" outlineLevel="0" collapsed="false">
      <c r="B455" s="7"/>
      <c r="E455" s="7"/>
    </row>
    <row r="456" customFormat="false" ht="13.8" hidden="false" customHeight="false" outlineLevel="0" collapsed="false">
      <c r="B456" s="7"/>
      <c r="E456" s="7"/>
    </row>
    <row r="457" customFormat="false" ht="13.8" hidden="false" customHeight="false" outlineLevel="0" collapsed="false">
      <c r="B457" s="7"/>
      <c r="E457" s="7"/>
    </row>
    <row r="458" customFormat="false" ht="13.8" hidden="false" customHeight="false" outlineLevel="0" collapsed="false">
      <c r="B458" s="7"/>
      <c r="E458" s="7"/>
    </row>
    <row r="459" customFormat="false" ht="13.8" hidden="false" customHeight="false" outlineLevel="0" collapsed="false">
      <c r="B459" s="7"/>
      <c r="E459" s="7"/>
    </row>
    <row r="460" customFormat="false" ht="13.8" hidden="false" customHeight="false" outlineLevel="0" collapsed="false">
      <c r="B460" s="7"/>
      <c r="E460" s="7"/>
    </row>
    <row r="461" customFormat="false" ht="13.8" hidden="false" customHeight="false" outlineLevel="0" collapsed="false">
      <c r="B461" s="7"/>
      <c r="E461" s="7"/>
    </row>
    <row r="462" customFormat="false" ht="13.8" hidden="false" customHeight="false" outlineLevel="0" collapsed="false">
      <c r="B462" s="7"/>
      <c r="E462" s="7"/>
    </row>
    <row r="463" customFormat="false" ht="13.8" hidden="false" customHeight="false" outlineLevel="0" collapsed="false">
      <c r="B463" s="7"/>
      <c r="E463" s="7"/>
    </row>
    <row r="464" customFormat="false" ht="13.8" hidden="false" customHeight="false" outlineLevel="0" collapsed="false">
      <c r="B464" s="7"/>
      <c r="E464" s="7"/>
    </row>
    <row r="465" customFormat="false" ht="13.8" hidden="false" customHeight="false" outlineLevel="0" collapsed="false">
      <c r="B465" s="7"/>
      <c r="E465" s="7"/>
    </row>
    <row r="466" customFormat="false" ht="13.8" hidden="false" customHeight="false" outlineLevel="0" collapsed="false">
      <c r="B466" s="7"/>
      <c r="E466" s="7"/>
    </row>
    <row r="467" customFormat="false" ht="13.8" hidden="false" customHeight="false" outlineLevel="0" collapsed="false">
      <c r="B467" s="7"/>
      <c r="E467" s="7"/>
    </row>
    <row r="468" customFormat="false" ht="13.8" hidden="false" customHeight="false" outlineLevel="0" collapsed="false">
      <c r="B468" s="7"/>
      <c r="E468" s="7"/>
    </row>
    <row r="469" customFormat="false" ht="13.8" hidden="false" customHeight="false" outlineLevel="0" collapsed="false">
      <c r="B469" s="7"/>
      <c r="E469" s="7"/>
    </row>
    <row r="470" customFormat="false" ht="13.8" hidden="false" customHeight="false" outlineLevel="0" collapsed="false">
      <c r="B470" s="7"/>
      <c r="E470" s="7"/>
    </row>
    <row r="471" customFormat="false" ht="13.8" hidden="false" customHeight="false" outlineLevel="0" collapsed="false">
      <c r="B471" s="7"/>
      <c r="E471" s="7"/>
    </row>
    <row r="472" customFormat="false" ht="13.8" hidden="false" customHeight="false" outlineLevel="0" collapsed="false">
      <c r="B472" s="7"/>
      <c r="E472" s="7"/>
    </row>
    <row r="473" customFormat="false" ht="13.8" hidden="false" customHeight="false" outlineLevel="0" collapsed="false">
      <c r="B473" s="7"/>
      <c r="E473" s="7"/>
    </row>
    <row r="474" customFormat="false" ht="13.8" hidden="false" customHeight="false" outlineLevel="0" collapsed="false">
      <c r="B474" s="7"/>
      <c r="E474" s="7"/>
    </row>
    <row r="475" customFormat="false" ht="13.8" hidden="false" customHeight="false" outlineLevel="0" collapsed="false">
      <c r="B475" s="7"/>
      <c r="E475" s="7"/>
    </row>
    <row r="476" customFormat="false" ht="13.8" hidden="false" customHeight="false" outlineLevel="0" collapsed="false">
      <c r="B476" s="7"/>
      <c r="E476" s="7"/>
    </row>
    <row r="477" customFormat="false" ht="13.8" hidden="false" customHeight="false" outlineLevel="0" collapsed="false">
      <c r="B477" s="7"/>
      <c r="E477" s="7"/>
    </row>
    <row r="478" customFormat="false" ht="13.8" hidden="false" customHeight="false" outlineLevel="0" collapsed="false">
      <c r="B478" s="7"/>
      <c r="E478" s="7"/>
    </row>
    <row r="479" customFormat="false" ht="13.8" hidden="false" customHeight="false" outlineLevel="0" collapsed="false">
      <c r="B479" s="7"/>
      <c r="E479" s="7"/>
    </row>
    <row r="480" customFormat="false" ht="13.8" hidden="false" customHeight="false" outlineLevel="0" collapsed="false">
      <c r="B480" s="7"/>
      <c r="E480" s="7"/>
    </row>
    <row r="481" customFormat="false" ht="13.8" hidden="false" customHeight="false" outlineLevel="0" collapsed="false">
      <c r="B481" s="7"/>
      <c r="E481" s="7"/>
    </row>
    <row r="482" customFormat="false" ht="13.8" hidden="false" customHeight="false" outlineLevel="0" collapsed="false">
      <c r="B482" s="7"/>
      <c r="E482" s="7"/>
    </row>
    <row r="483" customFormat="false" ht="13.8" hidden="false" customHeight="false" outlineLevel="0" collapsed="false">
      <c r="B483" s="7"/>
      <c r="E483" s="7"/>
    </row>
    <row r="484" customFormat="false" ht="13.8" hidden="false" customHeight="false" outlineLevel="0" collapsed="false">
      <c r="B484" s="7"/>
      <c r="E484" s="7"/>
    </row>
    <row r="485" customFormat="false" ht="13.8" hidden="false" customHeight="false" outlineLevel="0" collapsed="false">
      <c r="B485" s="7"/>
      <c r="E485" s="7"/>
    </row>
    <row r="486" customFormat="false" ht="13.8" hidden="false" customHeight="false" outlineLevel="0" collapsed="false">
      <c r="B486" s="7"/>
      <c r="E486" s="7"/>
    </row>
    <row r="487" customFormat="false" ht="13.8" hidden="false" customHeight="false" outlineLevel="0" collapsed="false">
      <c r="B487" s="7"/>
      <c r="E487" s="7"/>
    </row>
    <row r="488" customFormat="false" ht="13.8" hidden="false" customHeight="false" outlineLevel="0" collapsed="false">
      <c r="B488" s="7"/>
      <c r="E488" s="7"/>
    </row>
    <row r="489" customFormat="false" ht="13.8" hidden="false" customHeight="false" outlineLevel="0" collapsed="false">
      <c r="B489" s="7"/>
      <c r="E489" s="7"/>
    </row>
    <row r="490" customFormat="false" ht="13.8" hidden="false" customHeight="false" outlineLevel="0" collapsed="false">
      <c r="B490" s="7"/>
      <c r="E490" s="7"/>
    </row>
    <row r="491" customFormat="false" ht="13.8" hidden="false" customHeight="false" outlineLevel="0" collapsed="false">
      <c r="B491" s="7"/>
      <c r="E491" s="7"/>
    </row>
    <row r="492" customFormat="false" ht="13.8" hidden="false" customHeight="false" outlineLevel="0" collapsed="false">
      <c r="B492" s="7"/>
      <c r="E492" s="7"/>
    </row>
    <row r="493" customFormat="false" ht="13.8" hidden="false" customHeight="false" outlineLevel="0" collapsed="false">
      <c r="B493" s="7"/>
      <c r="E493" s="7"/>
    </row>
    <row r="494" customFormat="false" ht="13.8" hidden="false" customHeight="false" outlineLevel="0" collapsed="false">
      <c r="B494" s="7"/>
      <c r="E494" s="7"/>
    </row>
    <row r="495" customFormat="false" ht="13.8" hidden="false" customHeight="false" outlineLevel="0" collapsed="false">
      <c r="B495" s="7"/>
      <c r="E495" s="7"/>
    </row>
    <row r="496" customFormat="false" ht="13.8" hidden="false" customHeight="false" outlineLevel="0" collapsed="false">
      <c r="B496" s="7"/>
      <c r="E496" s="7"/>
    </row>
    <row r="497" customFormat="false" ht="13.8" hidden="false" customHeight="false" outlineLevel="0" collapsed="false">
      <c r="B497" s="7"/>
      <c r="E497" s="7"/>
    </row>
    <row r="498" customFormat="false" ht="13.8" hidden="false" customHeight="false" outlineLevel="0" collapsed="false">
      <c r="B498" s="7"/>
      <c r="E498" s="7"/>
    </row>
    <row r="499" customFormat="false" ht="13.8" hidden="false" customHeight="false" outlineLevel="0" collapsed="false">
      <c r="B499" s="7"/>
      <c r="E499" s="7"/>
    </row>
    <row r="500" customFormat="false" ht="13.8" hidden="false" customHeight="false" outlineLevel="0" collapsed="false">
      <c r="B500" s="7"/>
      <c r="E500" s="7"/>
    </row>
    <row r="501" customFormat="false" ht="13.8" hidden="false" customHeight="false" outlineLevel="0" collapsed="false">
      <c r="B501" s="7"/>
      <c r="E501" s="7"/>
    </row>
    <row r="502" customFormat="false" ht="13.8" hidden="false" customHeight="false" outlineLevel="0" collapsed="false">
      <c r="B502" s="7"/>
      <c r="E502" s="7"/>
    </row>
    <row r="503" customFormat="false" ht="13.8" hidden="false" customHeight="false" outlineLevel="0" collapsed="false">
      <c r="B503" s="7"/>
      <c r="E503" s="7"/>
    </row>
    <row r="504" customFormat="false" ht="13.8" hidden="false" customHeight="false" outlineLevel="0" collapsed="false">
      <c r="B504" s="7"/>
      <c r="E504" s="7"/>
    </row>
    <row r="505" customFormat="false" ht="13.8" hidden="false" customHeight="false" outlineLevel="0" collapsed="false">
      <c r="B505" s="7"/>
      <c r="E505" s="7"/>
    </row>
    <row r="506" customFormat="false" ht="13.8" hidden="false" customHeight="false" outlineLevel="0" collapsed="false">
      <c r="B506" s="7"/>
      <c r="E506" s="7"/>
    </row>
    <row r="507" customFormat="false" ht="13.8" hidden="false" customHeight="false" outlineLevel="0" collapsed="false">
      <c r="B507" s="7"/>
      <c r="E507" s="7"/>
    </row>
    <row r="508" customFormat="false" ht="13.8" hidden="false" customHeight="false" outlineLevel="0" collapsed="false">
      <c r="B508" s="7"/>
      <c r="E508" s="7"/>
    </row>
    <row r="509" customFormat="false" ht="13.8" hidden="false" customHeight="false" outlineLevel="0" collapsed="false">
      <c r="B509" s="7"/>
      <c r="E509" s="7"/>
    </row>
    <row r="510" customFormat="false" ht="13.8" hidden="false" customHeight="false" outlineLevel="0" collapsed="false">
      <c r="B510" s="7"/>
      <c r="E510" s="7"/>
    </row>
    <row r="511" customFormat="false" ht="13.8" hidden="false" customHeight="false" outlineLevel="0" collapsed="false">
      <c r="B511" s="7"/>
      <c r="E511" s="7"/>
    </row>
    <row r="512" customFormat="false" ht="13.8" hidden="false" customHeight="false" outlineLevel="0" collapsed="false">
      <c r="B512" s="7"/>
      <c r="E512" s="7"/>
    </row>
    <row r="513" customFormat="false" ht="13.8" hidden="false" customHeight="false" outlineLevel="0" collapsed="false">
      <c r="B513" s="7"/>
      <c r="E513" s="7"/>
    </row>
    <row r="514" customFormat="false" ht="13.8" hidden="false" customHeight="false" outlineLevel="0" collapsed="false">
      <c r="B514" s="7"/>
      <c r="E514" s="7"/>
    </row>
    <row r="515" customFormat="false" ht="13.8" hidden="false" customHeight="false" outlineLevel="0" collapsed="false">
      <c r="B515" s="7"/>
      <c r="E515" s="7"/>
    </row>
    <row r="516" customFormat="false" ht="13.8" hidden="false" customHeight="false" outlineLevel="0" collapsed="false">
      <c r="B516" s="7"/>
      <c r="E516" s="7"/>
    </row>
    <row r="517" customFormat="false" ht="13.8" hidden="false" customHeight="false" outlineLevel="0" collapsed="false">
      <c r="B517" s="7"/>
      <c r="E517" s="7"/>
    </row>
    <row r="518" customFormat="false" ht="13.8" hidden="false" customHeight="false" outlineLevel="0" collapsed="false">
      <c r="B518" s="7"/>
      <c r="E518" s="7"/>
    </row>
    <row r="519" customFormat="false" ht="13.8" hidden="false" customHeight="false" outlineLevel="0" collapsed="false">
      <c r="B519" s="7"/>
      <c r="E519" s="7"/>
    </row>
    <row r="520" customFormat="false" ht="13.8" hidden="false" customHeight="false" outlineLevel="0" collapsed="false">
      <c r="B520" s="7"/>
      <c r="E520" s="7"/>
    </row>
    <row r="521" customFormat="false" ht="13.8" hidden="false" customHeight="false" outlineLevel="0" collapsed="false">
      <c r="B521" s="7"/>
      <c r="E521" s="7"/>
    </row>
    <row r="522" customFormat="false" ht="13.8" hidden="false" customHeight="false" outlineLevel="0" collapsed="false">
      <c r="B522" s="7"/>
      <c r="E522" s="7"/>
    </row>
    <row r="523" customFormat="false" ht="13.8" hidden="false" customHeight="false" outlineLevel="0" collapsed="false">
      <c r="B523" s="7"/>
      <c r="E523" s="7"/>
    </row>
    <row r="524" customFormat="false" ht="13.8" hidden="false" customHeight="false" outlineLevel="0" collapsed="false">
      <c r="B524" s="7"/>
      <c r="E524" s="7"/>
    </row>
    <row r="525" customFormat="false" ht="13.8" hidden="false" customHeight="false" outlineLevel="0" collapsed="false">
      <c r="B525" s="7"/>
      <c r="E525" s="7"/>
    </row>
    <row r="526" customFormat="false" ht="13.8" hidden="false" customHeight="false" outlineLevel="0" collapsed="false">
      <c r="B526" s="7"/>
      <c r="E526" s="7"/>
    </row>
    <row r="527" customFormat="false" ht="13.8" hidden="false" customHeight="false" outlineLevel="0" collapsed="false">
      <c r="B527" s="7"/>
      <c r="E527" s="7"/>
    </row>
    <row r="528" customFormat="false" ht="13.8" hidden="false" customHeight="false" outlineLevel="0" collapsed="false">
      <c r="B528" s="7"/>
      <c r="E528" s="7"/>
    </row>
    <row r="529" customFormat="false" ht="13.8" hidden="false" customHeight="false" outlineLevel="0" collapsed="false">
      <c r="B529" s="7"/>
      <c r="E529" s="7"/>
    </row>
    <row r="530" customFormat="false" ht="13.8" hidden="false" customHeight="false" outlineLevel="0" collapsed="false">
      <c r="B530" s="7"/>
      <c r="E530" s="7"/>
    </row>
    <row r="531" customFormat="false" ht="13.8" hidden="false" customHeight="false" outlineLevel="0" collapsed="false">
      <c r="B531" s="7"/>
      <c r="E531" s="7"/>
    </row>
    <row r="532" customFormat="false" ht="13.8" hidden="false" customHeight="false" outlineLevel="0" collapsed="false">
      <c r="B532" s="7"/>
      <c r="E532" s="7"/>
    </row>
    <row r="533" customFormat="false" ht="13.8" hidden="false" customHeight="false" outlineLevel="0" collapsed="false">
      <c r="B533" s="7"/>
      <c r="E533" s="7"/>
    </row>
    <row r="534" customFormat="false" ht="13.8" hidden="false" customHeight="false" outlineLevel="0" collapsed="false">
      <c r="B534" s="7"/>
      <c r="E534" s="7"/>
    </row>
    <row r="535" customFormat="false" ht="13.8" hidden="false" customHeight="false" outlineLevel="0" collapsed="false">
      <c r="B535" s="7"/>
      <c r="E535" s="7"/>
    </row>
    <row r="536" customFormat="false" ht="13.8" hidden="false" customHeight="false" outlineLevel="0" collapsed="false">
      <c r="B536" s="7"/>
      <c r="E536" s="7"/>
    </row>
    <row r="537" customFormat="false" ht="13.8" hidden="false" customHeight="false" outlineLevel="0" collapsed="false">
      <c r="B537" s="7"/>
      <c r="E537" s="7"/>
    </row>
    <row r="538" customFormat="false" ht="13.8" hidden="false" customHeight="false" outlineLevel="0" collapsed="false">
      <c r="B538" s="7"/>
      <c r="E538" s="7"/>
    </row>
    <row r="539" customFormat="false" ht="13.8" hidden="false" customHeight="false" outlineLevel="0" collapsed="false">
      <c r="B539" s="7"/>
      <c r="E539" s="7"/>
    </row>
    <row r="540" customFormat="false" ht="13.8" hidden="false" customHeight="false" outlineLevel="0" collapsed="false">
      <c r="B540" s="7"/>
      <c r="E540" s="7"/>
    </row>
    <row r="541" customFormat="false" ht="13.8" hidden="false" customHeight="false" outlineLevel="0" collapsed="false">
      <c r="B541" s="7"/>
      <c r="E541" s="7"/>
    </row>
    <row r="542" customFormat="false" ht="13.8" hidden="false" customHeight="false" outlineLevel="0" collapsed="false">
      <c r="B542" s="7"/>
      <c r="E542" s="7"/>
    </row>
    <row r="543" customFormat="false" ht="13.8" hidden="false" customHeight="false" outlineLevel="0" collapsed="false">
      <c r="B543" s="7"/>
      <c r="E543" s="7"/>
    </row>
    <row r="544" customFormat="false" ht="13.8" hidden="false" customHeight="false" outlineLevel="0" collapsed="false">
      <c r="B544" s="7"/>
      <c r="E544" s="7"/>
    </row>
    <row r="545" customFormat="false" ht="13.8" hidden="false" customHeight="false" outlineLevel="0" collapsed="false">
      <c r="B545" s="7"/>
      <c r="E545" s="7"/>
    </row>
    <row r="546" customFormat="false" ht="13.8" hidden="false" customHeight="false" outlineLevel="0" collapsed="false">
      <c r="B546" s="7"/>
      <c r="E546" s="7"/>
    </row>
    <row r="547" customFormat="false" ht="13.8" hidden="false" customHeight="false" outlineLevel="0" collapsed="false">
      <c r="B547" s="7"/>
      <c r="E547" s="7"/>
    </row>
    <row r="548" customFormat="false" ht="13.8" hidden="false" customHeight="false" outlineLevel="0" collapsed="false">
      <c r="B548" s="7"/>
      <c r="E548" s="7"/>
    </row>
    <row r="549" customFormat="false" ht="13.8" hidden="false" customHeight="false" outlineLevel="0" collapsed="false">
      <c r="B549" s="7"/>
      <c r="E549" s="7"/>
    </row>
    <row r="550" customFormat="false" ht="13.8" hidden="false" customHeight="false" outlineLevel="0" collapsed="false">
      <c r="B550" s="7"/>
      <c r="E550" s="7"/>
    </row>
    <row r="551" customFormat="false" ht="13.8" hidden="false" customHeight="false" outlineLevel="0" collapsed="false">
      <c r="B551" s="7"/>
      <c r="E551" s="7"/>
    </row>
    <row r="552" customFormat="false" ht="13.8" hidden="false" customHeight="false" outlineLevel="0" collapsed="false">
      <c r="B552" s="7"/>
      <c r="E552" s="7"/>
    </row>
    <row r="553" customFormat="false" ht="13.8" hidden="false" customHeight="false" outlineLevel="0" collapsed="false">
      <c r="B553" s="7"/>
      <c r="E553" s="7"/>
    </row>
    <row r="554" customFormat="false" ht="13.8" hidden="false" customHeight="false" outlineLevel="0" collapsed="false">
      <c r="B554" s="7"/>
      <c r="E554" s="7"/>
    </row>
    <row r="555" customFormat="false" ht="13.8" hidden="false" customHeight="false" outlineLevel="0" collapsed="false">
      <c r="B555" s="7"/>
      <c r="E555" s="7"/>
    </row>
    <row r="556" customFormat="false" ht="13.8" hidden="false" customHeight="false" outlineLevel="0" collapsed="false">
      <c r="B556" s="7"/>
      <c r="E556" s="7"/>
    </row>
    <row r="557" customFormat="false" ht="13.8" hidden="false" customHeight="false" outlineLevel="0" collapsed="false">
      <c r="B557" s="7"/>
      <c r="E557" s="7"/>
    </row>
    <row r="558" customFormat="false" ht="13.8" hidden="false" customHeight="false" outlineLevel="0" collapsed="false">
      <c r="B558" s="7"/>
      <c r="E558" s="7"/>
    </row>
    <row r="559" customFormat="false" ht="13.8" hidden="false" customHeight="false" outlineLevel="0" collapsed="false">
      <c r="B559" s="7"/>
      <c r="E559" s="7"/>
    </row>
    <row r="560" customFormat="false" ht="13.8" hidden="false" customHeight="false" outlineLevel="0" collapsed="false">
      <c r="B560" s="7"/>
      <c r="E560" s="7"/>
    </row>
    <row r="561" customFormat="false" ht="13.8" hidden="false" customHeight="false" outlineLevel="0" collapsed="false">
      <c r="B561" s="7"/>
      <c r="E561" s="7"/>
    </row>
    <row r="562" customFormat="false" ht="13.8" hidden="false" customHeight="false" outlineLevel="0" collapsed="false">
      <c r="B562" s="7"/>
      <c r="E562" s="7"/>
    </row>
    <row r="563" customFormat="false" ht="13.8" hidden="false" customHeight="false" outlineLevel="0" collapsed="false">
      <c r="B563" s="7"/>
      <c r="E563" s="7"/>
    </row>
    <row r="564" customFormat="false" ht="13.8" hidden="false" customHeight="false" outlineLevel="0" collapsed="false">
      <c r="B564" s="7"/>
      <c r="E564" s="7"/>
    </row>
    <row r="565" customFormat="false" ht="13.8" hidden="false" customHeight="false" outlineLevel="0" collapsed="false">
      <c r="B565" s="7"/>
      <c r="E565" s="7"/>
    </row>
    <row r="566" customFormat="false" ht="13.8" hidden="false" customHeight="false" outlineLevel="0" collapsed="false">
      <c r="B566" s="7"/>
      <c r="E566" s="7"/>
    </row>
    <row r="567" customFormat="false" ht="13.8" hidden="false" customHeight="false" outlineLevel="0" collapsed="false">
      <c r="B567" s="7"/>
      <c r="E567" s="7"/>
    </row>
    <row r="568" customFormat="false" ht="13.8" hidden="false" customHeight="false" outlineLevel="0" collapsed="false">
      <c r="B568" s="7"/>
      <c r="E568" s="7"/>
    </row>
    <row r="569" customFormat="false" ht="13.8" hidden="false" customHeight="false" outlineLevel="0" collapsed="false">
      <c r="B569" s="7"/>
      <c r="E569" s="7"/>
    </row>
    <row r="570" customFormat="false" ht="13.8" hidden="false" customHeight="false" outlineLevel="0" collapsed="false">
      <c r="B570" s="7"/>
      <c r="E570" s="7"/>
    </row>
    <row r="571" customFormat="false" ht="13.8" hidden="false" customHeight="false" outlineLevel="0" collapsed="false">
      <c r="B571" s="7"/>
      <c r="E571" s="7"/>
    </row>
    <row r="572" customFormat="false" ht="13.8" hidden="false" customHeight="false" outlineLevel="0" collapsed="false">
      <c r="B572" s="7"/>
      <c r="E572" s="7"/>
    </row>
    <row r="573" customFormat="false" ht="13.8" hidden="false" customHeight="false" outlineLevel="0" collapsed="false">
      <c r="B573" s="7"/>
      <c r="E573" s="7"/>
    </row>
    <row r="574" customFormat="false" ht="13.8" hidden="false" customHeight="false" outlineLevel="0" collapsed="false">
      <c r="B574" s="7"/>
      <c r="E574" s="7"/>
    </row>
    <row r="575" customFormat="false" ht="13.8" hidden="false" customHeight="false" outlineLevel="0" collapsed="false">
      <c r="B575" s="7"/>
      <c r="E575" s="7"/>
    </row>
    <row r="576" customFormat="false" ht="13.8" hidden="false" customHeight="false" outlineLevel="0" collapsed="false">
      <c r="B576" s="7"/>
      <c r="E576" s="7"/>
    </row>
    <row r="577" customFormat="false" ht="13.8" hidden="false" customHeight="false" outlineLevel="0" collapsed="false">
      <c r="B577" s="7"/>
      <c r="E577" s="7"/>
    </row>
    <row r="578" customFormat="false" ht="13.8" hidden="false" customHeight="false" outlineLevel="0" collapsed="false">
      <c r="B578" s="7"/>
      <c r="E578" s="7"/>
    </row>
    <row r="579" customFormat="false" ht="13.8" hidden="false" customHeight="false" outlineLevel="0" collapsed="false">
      <c r="B579" s="7"/>
      <c r="E579" s="7"/>
    </row>
    <row r="580" customFormat="false" ht="13.8" hidden="false" customHeight="false" outlineLevel="0" collapsed="false">
      <c r="B580" s="7"/>
      <c r="E580" s="7"/>
    </row>
    <row r="581" customFormat="false" ht="13.8" hidden="false" customHeight="false" outlineLevel="0" collapsed="false">
      <c r="B581" s="7"/>
      <c r="E581" s="7"/>
    </row>
    <row r="582" customFormat="false" ht="13.8" hidden="false" customHeight="false" outlineLevel="0" collapsed="false">
      <c r="B582" s="7"/>
      <c r="E582" s="7"/>
    </row>
    <row r="583" customFormat="false" ht="13.8" hidden="false" customHeight="false" outlineLevel="0" collapsed="false">
      <c r="B583" s="7"/>
      <c r="E583" s="7"/>
    </row>
    <row r="584" customFormat="false" ht="13.8" hidden="false" customHeight="false" outlineLevel="0" collapsed="false">
      <c r="B584" s="7"/>
      <c r="E584" s="7"/>
    </row>
    <row r="585" customFormat="false" ht="13.8" hidden="false" customHeight="false" outlineLevel="0" collapsed="false">
      <c r="B585" s="7"/>
      <c r="E585" s="7"/>
    </row>
    <row r="586" customFormat="false" ht="13.8" hidden="false" customHeight="false" outlineLevel="0" collapsed="false">
      <c r="B586" s="7"/>
      <c r="E586" s="7"/>
    </row>
    <row r="587" customFormat="false" ht="13.8" hidden="false" customHeight="false" outlineLevel="0" collapsed="false">
      <c r="B587" s="7"/>
      <c r="E587" s="7"/>
    </row>
    <row r="588" customFormat="false" ht="13.8" hidden="false" customHeight="false" outlineLevel="0" collapsed="false">
      <c r="B588" s="7"/>
      <c r="E588" s="7"/>
    </row>
    <row r="589" customFormat="false" ht="13.8" hidden="false" customHeight="false" outlineLevel="0" collapsed="false">
      <c r="B589" s="7"/>
      <c r="E589" s="7"/>
    </row>
    <row r="590" customFormat="false" ht="13.8" hidden="false" customHeight="false" outlineLevel="0" collapsed="false">
      <c r="B590" s="7"/>
      <c r="E590" s="7"/>
    </row>
    <row r="591" customFormat="false" ht="13.8" hidden="false" customHeight="false" outlineLevel="0" collapsed="false">
      <c r="B591" s="7"/>
      <c r="E591" s="7"/>
    </row>
    <row r="592" customFormat="false" ht="13.8" hidden="false" customHeight="false" outlineLevel="0" collapsed="false">
      <c r="B592" s="7"/>
      <c r="E592" s="7"/>
    </row>
    <row r="593" customFormat="false" ht="13.8" hidden="false" customHeight="false" outlineLevel="0" collapsed="false">
      <c r="B593" s="7"/>
      <c r="E593" s="7"/>
    </row>
    <row r="594" customFormat="false" ht="13.8" hidden="false" customHeight="false" outlineLevel="0" collapsed="false">
      <c r="B594" s="7"/>
      <c r="E594" s="7"/>
    </row>
    <row r="595" customFormat="false" ht="13.8" hidden="false" customHeight="false" outlineLevel="0" collapsed="false">
      <c r="B595" s="7"/>
      <c r="E595" s="7"/>
    </row>
    <row r="596" customFormat="false" ht="13.8" hidden="false" customHeight="false" outlineLevel="0" collapsed="false">
      <c r="B596" s="7"/>
      <c r="E596" s="7"/>
    </row>
    <row r="597" customFormat="false" ht="13.8" hidden="false" customHeight="false" outlineLevel="0" collapsed="false">
      <c r="B597" s="7"/>
      <c r="E597" s="7"/>
    </row>
    <row r="598" customFormat="false" ht="13.8" hidden="false" customHeight="false" outlineLevel="0" collapsed="false">
      <c r="B598" s="7"/>
      <c r="E598" s="7"/>
    </row>
    <row r="599" customFormat="false" ht="13.8" hidden="false" customHeight="false" outlineLevel="0" collapsed="false">
      <c r="B599" s="7"/>
      <c r="E599" s="7"/>
    </row>
    <row r="600" customFormat="false" ht="13.8" hidden="false" customHeight="false" outlineLevel="0" collapsed="false">
      <c r="B600" s="7"/>
      <c r="E600" s="7"/>
    </row>
    <row r="601" customFormat="false" ht="13.8" hidden="false" customHeight="false" outlineLevel="0" collapsed="false">
      <c r="B601" s="7"/>
      <c r="E601" s="7"/>
    </row>
    <row r="602" customFormat="false" ht="13.8" hidden="false" customHeight="false" outlineLevel="0" collapsed="false">
      <c r="B602" s="7"/>
      <c r="E602" s="7"/>
    </row>
    <row r="603" customFormat="false" ht="13.8" hidden="false" customHeight="false" outlineLevel="0" collapsed="false">
      <c r="B603" s="7"/>
      <c r="E603" s="7"/>
    </row>
    <row r="604" customFormat="false" ht="13.8" hidden="false" customHeight="false" outlineLevel="0" collapsed="false">
      <c r="B604" s="7"/>
      <c r="E604" s="7"/>
    </row>
    <row r="605" customFormat="false" ht="13.8" hidden="false" customHeight="false" outlineLevel="0" collapsed="false">
      <c r="B605" s="7"/>
      <c r="E605" s="7"/>
    </row>
    <row r="606" customFormat="false" ht="13.8" hidden="false" customHeight="false" outlineLevel="0" collapsed="false">
      <c r="B606" s="7"/>
      <c r="E606" s="7"/>
    </row>
    <row r="607" customFormat="false" ht="13.8" hidden="false" customHeight="false" outlineLevel="0" collapsed="false">
      <c r="B607" s="7"/>
      <c r="E607" s="7"/>
    </row>
    <row r="608" customFormat="false" ht="13.8" hidden="false" customHeight="false" outlineLevel="0" collapsed="false">
      <c r="B608" s="7"/>
      <c r="E608" s="7"/>
    </row>
    <row r="609" customFormat="false" ht="13.8" hidden="false" customHeight="false" outlineLevel="0" collapsed="false">
      <c r="B609" s="7"/>
      <c r="E609" s="7"/>
    </row>
    <row r="610" customFormat="false" ht="13.8" hidden="false" customHeight="false" outlineLevel="0" collapsed="false">
      <c r="B610" s="7"/>
      <c r="E610" s="7"/>
    </row>
    <row r="611" customFormat="false" ht="13.8" hidden="false" customHeight="false" outlineLevel="0" collapsed="false">
      <c r="B611" s="7"/>
      <c r="E611" s="7"/>
    </row>
    <row r="612" customFormat="false" ht="13.8" hidden="false" customHeight="false" outlineLevel="0" collapsed="false">
      <c r="B612" s="7"/>
      <c r="E612" s="7"/>
    </row>
    <row r="613" customFormat="false" ht="13.8" hidden="false" customHeight="false" outlineLevel="0" collapsed="false">
      <c r="B613" s="7"/>
      <c r="E613" s="7"/>
    </row>
    <row r="614" customFormat="false" ht="13.8" hidden="false" customHeight="false" outlineLevel="0" collapsed="false">
      <c r="B614" s="7"/>
      <c r="E614" s="7"/>
    </row>
    <row r="615" customFormat="false" ht="13.8" hidden="false" customHeight="false" outlineLevel="0" collapsed="false">
      <c r="B615" s="7"/>
      <c r="E615" s="7"/>
    </row>
    <row r="616" customFormat="false" ht="13.8" hidden="false" customHeight="false" outlineLevel="0" collapsed="false">
      <c r="B616" s="7"/>
      <c r="E616" s="7"/>
    </row>
    <row r="617" customFormat="false" ht="13.8" hidden="false" customHeight="false" outlineLevel="0" collapsed="false">
      <c r="B617" s="7"/>
      <c r="E617" s="7"/>
    </row>
    <row r="618" customFormat="false" ht="13.8" hidden="false" customHeight="false" outlineLevel="0" collapsed="false">
      <c r="B618" s="7"/>
      <c r="E618" s="7"/>
    </row>
    <row r="619" customFormat="false" ht="13.8" hidden="false" customHeight="false" outlineLevel="0" collapsed="false">
      <c r="B619" s="7"/>
      <c r="E619" s="7"/>
    </row>
    <row r="620" customFormat="false" ht="13.8" hidden="false" customHeight="false" outlineLevel="0" collapsed="false">
      <c r="B620" s="7"/>
      <c r="E620" s="7"/>
    </row>
    <row r="621" customFormat="false" ht="13.8" hidden="false" customHeight="false" outlineLevel="0" collapsed="false">
      <c r="B621" s="7"/>
      <c r="E621" s="7"/>
    </row>
    <row r="622" customFormat="false" ht="13.8" hidden="false" customHeight="false" outlineLevel="0" collapsed="false">
      <c r="B622" s="7"/>
      <c r="E622" s="7"/>
    </row>
    <row r="623" customFormat="false" ht="13.8" hidden="false" customHeight="false" outlineLevel="0" collapsed="false">
      <c r="B623" s="7"/>
      <c r="E623" s="7"/>
    </row>
    <row r="624" customFormat="false" ht="13.8" hidden="false" customHeight="false" outlineLevel="0" collapsed="false">
      <c r="B624" s="7"/>
      <c r="E624" s="7"/>
    </row>
    <row r="625" customFormat="false" ht="13.8" hidden="false" customHeight="false" outlineLevel="0" collapsed="false">
      <c r="B625" s="7"/>
      <c r="E625" s="7"/>
    </row>
    <row r="626" customFormat="false" ht="13.8" hidden="false" customHeight="false" outlineLevel="0" collapsed="false">
      <c r="B626" s="7"/>
      <c r="E626" s="7"/>
    </row>
    <row r="627" customFormat="false" ht="13.8" hidden="false" customHeight="false" outlineLevel="0" collapsed="false">
      <c r="B627" s="7"/>
      <c r="E627" s="7"/>
    </row>
    <row r="628" customFormat="false" ht="13.8" hidden="false" customHeight="false" outlineLevel="0" collapsed="false">
      <c r="B628" s="7"/>
      <c r="E628" s="7"/>
    </row>
    <row r="629" customFormat="false" ht="13.8" hidden="false" customHeight="false" outlineLevel="0" collapsed="false">
      <c r="B629" s="7"/>
      <c r="E629" s="7"/>
    </row>
    <row r="630" customFormat="false" ht="13.8" hidden="false" customHeight="false" outlineLevel="0" collapsed="false">
      <c r="B630" s="7"/>
      <c r="E630" s="7"/>
    </row>
    <row r="631" customFormat="false" ht="13.8" hidden="false" customHeight="false" outlineLevel="0" collapsed="false">
      <c r="B631" s="7"/>
      <c r="E631" s="7"/>
    </row>
    <row r="632" customFormat="false" ht="13.8" hidden="false" customHeight="false" outlineLevel="0" collapsed="false">
      <c r="B632" s="7"/>
      <c r="E632" s="7"/>
    </row>
    <row r="633" customFormat="false" ht="13.8" hidden="false" customHeight="false" outlineLevel="0" collapsed="false">
      <c r="B633" s="7"/>
      <c r="E633" s="7"/>
    </row>
    <row r="634" customFormat="false" ht="13.8" hidden="false" customHeight="false" outlineLevel="0" collapsed="false">
      <c r="B634" s="7"/>
      <c r="E634" s="7"/>
    </row>
    <row r="635" customFormat="false" ht="13.8" hidden="false" customHeight="false" outlineLevel="0" collapsed="false">
      <c r="B635" s="7"/>
      <c r="E635" s="7"/>
    </row>
    <row r="636" customFormat="false" ht="13.8" hidden="false" customHeight="false" outlineLevel="0" collapsed="false">
      <c r="B636" s="7"/>
      <c r="E636" s="7"/>
    </row>
    <row r="637" customFormat="false" ht="13.8" hidden="false" customHeight="false" outlineLevel="0" collapsed="false">
      <c r="B637" s="7"/>
      <c r="E637" s="7"/>
    </row>
    <row r="638" customFormat="false" ht="13.8" hidden="false" customHeight="false" outlineLevel="0" collapsed="false">
      <c r="B638" s="7"/>
      <c r="E638" s="7"/>
    </row>
    <row r="639" customFormat="false" ht="13.8" hidden="false" customHeight="false" outlineLevel="0" collapsed="false">
      <c r="B639" s="7"/>
      <c r="E639" s="7"/>
    </row>
    <row r="640" customFormat="false" ht="13.8" hidden="false" customHeight="false" outlineLevel="0" collapsed="false">
      <c r="B640" s="7"/>
      <c r="E640" s="7"/>
    </row>
    <row r="641" customFormat="false" ht="13.8" hidden="false" customHeight="false" outlineLevel="0" collapsed="false">
      <c r="B641" s="7"/>
      <c r="E641" s="7"/>
    </row>
    <row r="642" customFormat="false" ht="13.8" hidden="false" customHeight="false" outlineLevel="0" collapsed="false">
      <c r="B642" s="7"/>
      <c r="E642" s="7"/>
    </row>
    <row r="643" customFormat="false" ht="13.8" hidden="false" customHeight="false" outlineLevel="0" collapsed="false">
      <c r="B643" s="7"/>
      <c r="E643" s="7"/>
    </row>
    <row r="644" customFormat="false" ht="13.8" hidden="false" customHeight="false" outlineLevel="0" collapsed="false">
      <c r="B644" s="7"/>
      <c r="E644" s="7"/>
    </row>
    <row r="645" customFormat="false" ht="13.8" hidden="false" customHeight="false" outlineLevel="0" collapsed="false">
      <c r="B645" s="7"/>
      <c r="E645" s="7"/>
    </row>
    <row r="646" customFormat="false" ht="13.8" hidden="false" customHeight="false" outlineLevel="0" collapsed="false">
      <c r="B646" s="7"/>
      <c r="E646" s="7"/>
    </row>
    <row r="647" customFormat="false" ht="13.8" hidden="false" customHeight="false" outlineLevel="0" collapsed="false">
      <c r="B647" s="7"/>
      <c r="E647" s="7"/>
    </row>
    <row r="648" customFormat="false" ht="13.8" hidden="false" customHeight="false" outlineLevel="0" collapsed="false">
      <c r="B648" s="7"/>
      <c r="E648" s="7"/>
    </row>
    <row r="649" customFormat="false" ht="13.8" hidden="false" customHeight="false" outlineLevel="0" collapsed="false">
      <c r="B649" s="7"/>
      <c r="E649" s="7"/>
    </row>
    <row r="650" customFormat="false" ht="13.8" hidden="false" customHeight="false" outlineLevel="0" collapsed="false">
      <c r="B650" s="7"/>
      <c r="E650" s="7"/>
    </row>
    <row r="651" customFormat="false" ht="13.8" hidden="false" customHeight="false" outlineLevel="0" collapsed="false">
      <c r="B651" s="7"/>
      <c r="E651" s="7"/>
    </row>
    <row r="652" customFormat="false" ht="13.8" hidden="false" customHeight="false" outlineLevel="0" collapsed="false">
      <c r="B652" s="7"/>
      <c r="E652" s="7"/>
    </row>
    <row r="653" customFormat="false" ht="13.8" hidden="false" customHeight="false" outlineLevel="0" collapsed="false">
      <c r="B653" s="7"/>
      <c r="E653" s="7"/>
    </row>
    <row r="654" customFormat="false" ht="13.8" hidden="false" customHeight="false" outlineLevel="0" collapsed="false">
      <c r="B654" s="7"/>
      <c r="E654" s="7"/>
    </row>
    <row r="655" customFormat="false" ht="13.8" hidden="false" customHeight="false" outlineLevel="0" collapsed="false">
      <c r="B655" s="7"/>
      <c r="E655" s="7"/>
    </row>
    <row r="656" customFormat="false" ht="13.8" hidden="false" customHeight="false" outlineLevel="0" collapsed="false">
      <c r="B656" s="7"/>
      <c r="E656" s="7"/>
    </row>
    <row r="657" customFormat="false" ht="13.8" hidden="false" customHeight="false" outlineLevel="0" collapsed="false">
      <c r="B657" s="7"/>
      <c r="E657" s="7"/>
    </row>
    <row r="658" customFormat="false" ht="13.8" hidden="false" customHeight="false" outlineLevel="0" collapsed="false">
      <c r="B658" s="7"/>
      <c r="E658" s="7"/>
    </row>
    <row r="659" customFormat="false" ht="13.8" hidden="false" customHeight="false" outlineLevel="0" collapsed="false">
      <c r="B659" s="7"/>
      <c r="E659" s="7"/>
    </row>
    <row r="660" customFormat="false" ht="13.8" hidden="false" customHeight="false" outlineLevel="0" collapsed="false">
      <c r="B660" s="7"/>
      <c r="E660" s="7"/>
    </row>
    <row r="661" customFormat="false" ht="13.8" hidden="false" customHeight="false" outlineLevel="0" collapsed="false">
      <c r="B661" s="7"/>
      <c r="E661" s="7"/>
    </row>
    <row r="662" customFormat="false" ht="13.8" hidden="false" customHeight="false" outlineLevel="0" collapsed="false">
      <c r="B662" s="7"/>
      <c r="E662" s="7"/>
    </row>
    <row r="663" customFormat="false" ht="13.8" hidden="false" customHeight="false" outlineLevel="0" collapsed="false">
      <c r="B663" s="7"/>
      <c r="E663" s="7"/>
    </row>
    <row r="664" customFormat="false" ht="13.8" hidden="false" customHeight="false" outlineLevel="0" collapsed="false">
      <c r="B664" s="7"/>
      <c r="E664" s="7"/>
    </row>
    <row r="665" customFormat="false" ht="13.8" hidden="false" customHeight="false" outlineLevel="0" collapsed="false">
      <c r="B665" s="7"/>
      <c r="E665" s="7"/>
    </row>
    <row r="666" customFormat="false" ht="13.8" hidden="false" customHeight="false" outlineLevel="0" collapsed="false">
      <c r="B666" s="7"/>
      <c r="E666" s="7"/>
    </row>
    <row r="667" customFormat="false" ht="13.8" hidden="false" customHeight="false" outlineLevel="0" collapsed="false">
      <c r="B667" s="7"/>
      <c r="E667" s="7"/>
    </row>
    <row r="668" customFormat="false" ht="13.8" hidden="false" customHeight="false" outlineLevel="0" collapsed="false">
      <c r="B668" s="7"/>
      <c r="E668" s="7"/>
    </row>
    <row r="669" customFormat="false" ht="13.8" hidden="false" customHeight="false" outlineLevel="0" collapsed="false">
      <c r="B669" s="7"/>
      <c r="E669" s="7"/>
    </row>
    <row r="670" customFormat="false" ht="13.8" hidden="false" customHeight="false" outlineLevel="0" collapsed="false">
      <c r="B670" s="7"/>
      <c r="E670" s="7"/>
    </row>
    <row r="671" customFormat="false" ht="13.8" hidden="false" customHeight="false" outlineLevel="0" collapsed="false">
      <c r="B671" s="7"/>
      <c r="E671" s="7"/>
    </row>
    <row r="672" customFormat="false" ht="13.8" hidden="false" customHeight="false" outlineLevel="0" collapsed="false">
      <c r="B672" s="7"/>
      <c r="E672" s="7"/>
    </row>
    <row r="673" customFormat="false" ht="13.8" hidden="false" customHeight="false" outlineLevel="0" collapsed="false">
      <c r="B673" s="7"/>
      <c r="E673" s="7"/>
    </row>
    <row r="674" customFormat="false" ht="13.8" hidden="false" customHeight="false" outlineLevel="0" collapsed="false">
      <c r="B674" s="7"/>
      <c r="E674" s="7"/>
    </row>
    <row r="675" customFormat="false" ht="13.8" hidden="false" customHeight="false" outlineLevel="0" collapsed="false">
      <c r="B675" s="7"/>
      <c r="E675" s="7"/>
    </row>
    <row r="676" customFormat="false" ht="13.8" hidden="false" customHeight="false" outlineLevel="0" collapsed="false">
      <c r="B676" s="7"/>
      <c r="E676" s="7"/>
    </row>
    <row r="677" customFormat="false" ht="13.8" hidden="false" customHeight="false" outlineLevel="0" collapsed="false">
      <c r="B677" s="7"/>
      <c r="E677" s="7"/>
    </row>
    <row r="678" customFormat="false" ht="13.8" hidden="false" customHeight="false" outlineLevel="0" collapsed="false">
      <c r="B678" s="7"/>
      <c r="E678" s="7"/>
    </row>
    <row r="679" customFormat="false" ht="13.8" hidden="false" customHeight="false" outlineLevel="0" collapsed="false">
      <c r="B679" s="7"/>
      <c r="E679" s="7"/>
    </row>
    <row r="680" customFormat="false" ht="13.8" hidden="false" customHeight="false" outlineLevel="0" collapsed="false">
      <c r="B680" s="7"/>
      <c r="E680" s="7"/>
    </row>
    <row r="681" customFormat="false" ht="13.8" hidden="false" customHeight="false" outlineLevel="0" collapsed="false">
      <c r="B681" s="7"/>
      <c r="E681" s="7"/>
    </row>
    <row r="682" customFormat="false" ht="13.8" hidden="false" customHeight="false" outlineLevel="0" collapsed="false">
      <c r="B682" s="7"/>
      <c r="E682" s="7"/>
    </row>
    <row r="683" customFormat="false" ht="13.8" hidden="false" customHeight="false" outlineLevel="0" collapsed="false">
      <c r="B683" s="7"/>
      <c r="E683" s="7"/>
    </row>
    <row r="684" customFormat="false" ht="13.8" hidden="false" customHeight="false" outlineLevel="0" collapsed="false">
      <c r="B684" s="7"/>
      <c r="E684" s="7"/>
    </row>
    <row r="685" customFormat="false" ht="13.8" hidden="false" customHeight="false" outlineLevel="0" collapsed="false">
      <c r="B685" s="7"/>
      <c r="E685" s="7"/>
    </row>
    <row r="686" customFormat="false" ht="13.8" hidden="false" customHeight="false" outlineLevel="0" collapsed="false">
      <c r="B686" s="7"/>
      <c r="E686" s="7"/>
    </row>
    <row r="687" customFormat="false" ht="13.8" hidden="false" customHeight="false" outlineLevel="0" collapsed="false">
      <c r="B687" s="7"/>
      <c r="E687" s="7"/>
    </row>
    <row r="688" customFormat="false" ht="13.8" hidden="false" customHeight="false" outlineLevel="0" collapsed="false">
      <c r="B688" s="7"/>
      <c r="E688" s="7"/>
    </row>
    <row r="689" customFormat="false" ht="13.8" hidden="false" customHeight="false" outlineLevel="0" collapsed="false">
      <c r="B689" s="7"/>
      <c r="E689" s="7"/>
    </row>
    <row r="690" customFormat="false" ht="13.8" hidden="false" customHeight="false" outlineLevel="0" collapsed="false">
      <c r="B690" s="7"/>
      <c r="E690" s="7"/>
    </row>
    <row r="691" customFormat="false" ht="13.8" hidden="false" customHeight="false" outlineLevel="0" collapsed="false">
      <c r="B691" s="7"/>
      <c r="E691" s="7"/>
    </row>
    <row r="692" customFormat="false" ht="13.8" hidden="false" customHeight="false" outlineLevel="0" collapsed="false">
      <c r="B692" s="7"/>
      <c r="E692" s="7"/>
    </row>
    <row r="693" customFormat="false" ht="13.8" hidden="false" customHeight="false" outlineLevel="0" collapsed="false">
      <c r="B693" s="7"/>
      <c r="E693" s="7"/>
    </row>
    <row r="694" customFormat="false" ht="13.8" hidden="false" customHeight="false" outlineLevel="0" collapsed="false">
      <c r="B694" s="7"/>
      <c r="E694" s="7"/>
    </row>
    <row r="695" customFormat="false" ht="13.8" hidden="false" customHeight="false" outlineLevel="0" collapsed="false">
      <c r="B695" s="7"/>
      <c r="E695" s="7"/>
    </row>
    <row r="696" customFormat="false" ht="13.8" hidden="false" customHeight="false" outlineLevel="0" collapsed="false">
      <c r="B696" s="7"/>
      <c r="E696" s="7"/>
    </row>
    <row r="697" customFormat="false" ht="13.8" hidden="false" customHeight="false" outlineLevel="0" collapsed="false">
      <c r="B697" s="7"/>
      <c r="E697" s="7"/>
    </row>
    <row r="698" customFormat="false" ht="13.8" hidden="false" customHeight="false" outlineLevel="0" collapsed="false">
      <c r="B698" s="7"/>
      <c r="E698" s="7"/>
    </row>
    <row r="699" customFormat="false" ht="13.8" hidden="false" customHeight="false" outlineLevel="0" collapsed="false">
      <c r="B699" s="7"/>
      <c r="E699" s="7"/>
    </row>
    <row r="700" customFormat="false" ht="13.8" hidden="false" customHeight="false" outlineLevel="0" collapsed="false">
      <c r="B700" s="7"/>
      <c r="E700" s="7"/>
    </row>
    <row r="701" customFormat="false" ht="13.8" hidden="false" customHeight="false" outlineLevel="0" collapsed="false">
      <c r="B701" s="7"/>
      <c r="E701" s="7"/>
    </row>
    <row r="702" customFormat="false" ht="13.8" hidden="false" customHeight="false" outlineLevel="0" collapsed="false">
      <c r="B702" s="7"/>
      <c r="E702" s="7"/>
    </row>
    <row r="703" customFormat="false" ht="13.8" hidden="false" customHeight="false" outlineLevel="0" collapsed="false">
      <c r="B703" s="7"/>
      <c r="E703" s="7"/>
    </row>
    <row r="704" customFormat="false" ht="13.8" hidden="false" customHeight="false" outlineLevel="0" collapsed="false">
      <c r="B704" s="7"/>
      <c r="E704" s="7"/>
    </row>
    <row r="705" customFormat="false" ht="13.8" hidden="false" customHeight="false" outlineLevel="0" collapsed="false">
      <c r="B705" s="7"/>
      <c r="E705" s="7"/>
    </row>
    <row r="706" customFormat="false" ht="13.8" hidden="false" customHeight="false" outlineLevel="0" collapsed="false">
      <c r="B706" s="7"/>
      <c r="E706" s="7"/>
    </row>
    <row r="707" customFormat="false" ht="13.8" hidden="false" customHeight="false" outlineLevel="0" collapsed="false">
      <c r="B707" s="7"/>
      <c r="E707" s="7"/>
    </row>
    <row r="708" customFormat="false" ht="13.8" hidden="false" customHeight="false" outlineLevel="0" collapsed="false">
      <c r="B708" s="7"/>
      <c r="E708" s="7"/>
    </row>
    <row r="709" customFormat="false" ht="13.8" hidden="false" customHeight="false" outlineLevel="0" collapsed="false">
      <c r="B709" s="7"/>
      <c r="E709" s="7"/>
    </row>
    <row r="710" customFormat="false" ht="13.8" hidden="false" customHeight="false" outlineLevel="0" collapsed="false">
      <c r="B710" s="7"/>
      <c r="E710" s="7"/>
    </row>
    <row r="711" customFormat="false" ht="13.8" hidden="false" customHeight="false" outlineLevel="0" collapsed="false">
      <c r="B711" s="7"/>
      <c r="E711" s="7"/>
    </row>
    <row r="712" customFormat="false" ht="13.8" hidden="false" customHeight="false" outlineLevel="0" collapsed="false">
      <c r="B712" s="7"/>
      <c r="E712" s="7"/>
    </row>
    <row r="713" customFormat="false" ht="13.8" hidden="false" customHeight="false" outlineLevel="0" collapsed="false">
      <c r="B713" s="7"/>
      <c r="E713" s="7"/>
    </row>
    <row r="714" customFormat="false" ht="13.8" hidden="false" customHeight="false" outlineLevel="0" collapsed="false">
      <c r="B714" s="7"/>
      <c r="E714" s="7"/>
    </row>
    <row r="715" customFormat="false" ht="13.8" hidden="false" customHeight="false" outlineLevel="0" collapsed="false">
      <c r="B715" s="7"/>
      <c r="E715" s="7"/>
    </row>
    <row r="716" customFormat="false" ht="13.8" hidden="false" customHeight="false" outlineLevel="0" collapsed="false">
      <c r="B716" s="7"/>
      <c r="E716" s="7"/>
    </row>
    <row r="717" customFormat="false" ht="13.8" hidden="false" customHeight="false" outlineLevel="0" collapsed="false">
      <c r="B717" s="7"/>
      <c r="E717" s="7"/>
    </row>
    <row r="718" customFormat="false" ht="13.8" hidden="false" customHeight="false" outlineLevel="0" collapsed="false">
      <c r="B718" s="7"/>
      <c r="E718" s="7"/>
    </row>
    <row r="719" customFormat="false" ht="13.8" hidden="false" customHeight="false" outlineLevel="0" collapsed="false">
      <c r="B719" s="7"/>
      <c r="E719" s="7"/>
    </row>
    <row r="720" customFormat="false" ht="13.8" hidden="false" customHeight="false" outlineLevel="0" collapsed="false">
      <c r="B720" s="7"/>
      <c r="E720" s="7"/>
    </row>
    <row r="721" customFormat="false" ht="13.8" hidden="false" customHeight="false" outlineLevel="0" collapsed="false">
      <c r="B721" s="7"/>
      <c r="E721" s="7"/>
    </row>
    <row r="722" customFormat="false" ht="13.8" hidden="false" customHeight="false" outlineLevel="0" collapsed="false">
      <c r="B722" s="7"/>
      <c r="E722" s="7"/>
    </row>
    <row r="723" customFormat="false" ht="13.8" hidden="false" customHeight="false" outlineLevel="0" collapsed="false">
      <c r="B723" s="7"/>
      <c r="E723" s="7"/>
    </row>
    <row r="724" customFormat="false" ht="13.8" hidden="false" customHeight="false" outlineLevel="0" collapsed="false">
      <c r="B724" s="7"/>
      <c r="E724" s="7"/>
    </row>
    <row r="725" customFormat="false" ht="13.8" hidden="false" customHeight="false" outlineLevel="0" collapsed="false">
      <c r="B725" s="7"/>
      <c r="E725" s="7"/>
    </row>
    <row r="726" customFormat="false" ht="13.8" hidden="false" customHeight="false" outlineLevel="0" collapsed="false">
      <c r="B726" s="7"/>
      <c r="E726" s="7"/>
    </row>
    <row r="727" customFormat="false" ht="13.8" hidden="false" customHeight="false" outlineLevel="0" collapsed="false">
      <c r="B727" s="7"/>
      <c r="E727" s="7"/>
    </row>
    <row r="728" customFormat="false" ht="13.8" hidden="false" customHeight="false" outlineLevel="0" collapsed="false">
      <c r="B728" s="7"/>
      <c r="E728" s="7"/>
    </row>
    <row r="729" customFormat="false" ht="13.8" hidden="false" customHeight="false" outlineLevel="0" collapsed="false">
      <c r="B729" s="7"/>
      <c r="E729" s="7"/>
    </row>
    <row r="730" customFormat="false" ht="13.8" hidden="false" customHeight="false" outlineLevel="0" collapsed="false">
      <c r="B730" s="7"/>
      <c r="E730" s="7"/>
    </row>
    <row r="731" customFormat="false" ht="13.8" hidden="false" customHeight="false" outlineLevel="0" collapsed="false">
      <c r="B731" s="7"/>
      <c r="E731" s="7"/>
    </row>
    <row r="732" customFormat="false" ht="13.8" hidden="false" customHeight="false" outlineLevel="0" collapsed="false">
      <c r="B732" s="7"/>
      <c r="E732" s="7"/>
    </row>
    <row r="733" customFormat="false" ht="13.8" hidden="false" customHeight="false" outlineLevel="0" collapsed="false">
      <c r="B733" s="7"/>
      <c r="E733" s="7"/>
    </row>
    <row r="734" customFormat="false" ht="13.8" hidden="false" customHeight="false" outlineLevel="0" collapsed="false">
      <c r="B734" s="7"/>
      <c r="E734" s="7"/>
    </row>
    <row r="735" customFormat="false" ht="13.8" hidden="false" customHeight="false" outlineLevel="0" collapsed="false">
      <c r="B735" s="7"/>
      <c r="E735" s="7"/>
    </row>
    <row r="736" customFormat="false" ht="13.8" hidden="false" customHeight="false" outlineLevel="0" collapsed="false">
      <c r="B736" s="7"/>
      <c r="E736" s="7"/>
    </row>
    <row r="737" customFormat="false" ht="13.8" hidden="false" customHeight="false" outlineLevel="0" collapsed="false">
      <c r="B737" s="7"/>
      <c r="E737" s="7"/>
    </row>
    <row r="738" customFormat="false" ht="13.8" hidden="false" customHeight="false" outlineLevel="0" collapsed="false">
      <c r="B738" s="7"/>
      <c r="E738" s="7"/>
    </row>
    <row r="739" customFormat="false" ht="13.8" hidden="false" customHeight="false" outlineLevel="0" collapsed="false">
      <c r="B739" s="7"/>
      <c r="E739" s="7"/>
    </row>
    <row r="740" customFormat="false" ht="13.8" hidden="false" customHeight="false" outlineLevel="0" collapsed="false">
      <c r="B740" s="7"/>
      <c r="E740" s="7"/>
    </row>
    <row r="741" customFormat="false" ht="13.8" hidden="false" customHeight="false" outlineLevel="0" collapsed="false">
      <c r="B741" s="7"/>
      <c r="E741" s="7"/>
    </row>
    <row r="742" customFormat="false" ht="13.8" hidden="false" customHeight="false" outlineLevel="0" collapsed="false">
      <c r="B742" s="7"/>
      <c r="E742" s="7"/>
    </row>
    <row r="743" customFormat="false" ht="13.8" hidden="false" customHeight="false" outlineLevel="0" collapsed="false">
      <c r="B743" s="7"/>
      <c r="E743" s="7"/>
    </row>
    <row r="744" customFormat="false" ht="13.8" hidden="false" customHeight="false" outlineLevel="0" collapsed="false">
      <c r="B744" s="7"/>
      <c r="E744" s="7"/>
    </row>
    <row r="745" customFormat="false" ht="13.8" hidden="false" customHeight="false" outlineLevel="0" collapsed="false">
      <c r="B745" s="7"/>
      <c r="E745" s="7"/>
    </row>
    <row r="746" customFormat="false" ht="13.8" hidden="false" customHeight="false" outlineLevel="0" collapsed="false">
      <c r="B746" s="7"/>
      <c r="E746" s="7"/>
    </row>
    <row r="747" customFormat="false" ht="13.8" hidden="false" customHeight="false" outlineLevel="0" collapsed="false">
      <c r="B747" s="7"/>
      <c r="E747" s="7"/>
    </row>
    <row r="748" customFormat="false" ht="13.8" hidden="false" customHeight="false" outlineLevel="0" collapsed="false">
      <c r="B748" s="7"/>
      <c r="E748" s="7"/>
    </row>
    <row r="749" customFormat="false" ht="13.8" hidden="false" customHeight="false" outlineLevel="0" collapsed="false">
      <c r="B749" s="7"/>
      <c r="E749" s="7"/>
    </row>
    <row r="750" customFormat="false" ht="13.8" hidden="false" customHeight="false" outlineLevel="0" collapsed="false">
      <c r="B750" s="7"/>
      <c r="E750" s="7"/>
    </row>
    <row r="751" customFormat="false" ht="13.8" hidden="false" customHeight="false" outlineLevel="0" collapsed="false">
      <c r="B751" s="7"/>
      <c r="E751" s="7"/>
    </row>
    <row r="752" customFormat="false" ht="13.8" hidden="false" customHeight="false" outlineLevel="0" collapsed="false">
      <c r="B752" s="7"/>
      <c r="E752" s="7"/>
    </row>
    <row r="753" customFormat="false" ht="13.8" hidden="false" customHeight="false" outlineLevel="0" collapsed="false">
      <c r="B753" s="7"/>
      <c r="E753" s="7"/>
    </row>
    <row r="754" customFormat="false" ht="13.8" hidden="false" customHeight="false" outlineLevel="0" collapsed="false">
      <c r="B754" s="7"/>
      <c r="E754" s="7"/>
    </row>
    <row r="755" customFormat="false" ht="13.8" hidden="false" customHeight="false" outlineLevel="0" collapsed="false">
      <c r="B755" s="7"/>
      <c r="E755" s="7"/>
    </row>
    <row r="756" customFormat="false" ht="13.8" hidden="false" customHeight="false" outlineLevel="0" collapsed="false">
      <c r="B756" s="7"/>
      <c r="E756" s="7"/>
    </row>
    <row r="757" customFormat="false" ht="13.8" hidden="false" customHeight="false" outlineLevel="0" collapsed="false">
      <c r="B757" s="7"/>
      <c r="E757" s="7"/>
    </row>
    <row r="758" customFormat="false" ht="13.8" hidden="false" customHeight="false" outlineLevel="0" collapsed="false">
      <c r="B758" s="7"/>
      <c r="E758" s="7"/>
    </row>
    <row r="759" customFormat="false" ht="13.8" hidden="false" customHeight="false" outlineLevel="0" collapsed="false">
      <c r="B759" s="7"/>
      <c r="E759" s="7"/>
    </row>
    <row r="760" customFormat="false" ht="13.8" hidden="false" customHeight="false" outlineLevel="0" collapsed="false">
      <c r="B760" s="7"/>
      <c r="E760" s="7"/>
    </row>
    <row r="761" customFormat="false" ht="13.8" hidden="false" customHeight="false" outlineLevel="0" collapsed="false">
      <c r="B761" s="7"/>
      <c r="E761" s="7"/>
    </row>
    <row r="762" customFormat="false" ht="13.8" hidden="false" customHeight="false" outlineLevel="0" collapsed="false">
      <c r="B762" s="7"/>
      <c r="E762" s="7"/>
    </row>
    <row r="763" customFormat="false" ht="13.8" hidden="false" customHeight="false" outlineLevel="0" collapsed="false">
      <c r="B763" s="7"/>
      <c r="E763" s="7"/>
    </row>
    <row r="764" customFormat="false" ht="13.8" hidden="false" customHeight="false" outlineLevel="0" collapsed="false">
      <c r="B764" s="7"/>
      <c r="E764" s="7"/>
    </row>
    <row r="765" customFormat="false" ht="13.8" hidden="false" customHeight="false" outlineLevel="0" collapsed="false">
      <c r="B765" s="7"/>
      <c r="E765" s="7"/>
    </row>
    <row r="766" customFormat="false" ht="13.8" hidden="false" customHeight="false" outlineLevel="0" collapsed="false">
      <c r="B766" s="7"/>
      <c r="E766" s="7"/>
    </row>
    <row r="767" customFormat="false" ht="13.8" hidden="false" customHeight="false" outlineLevel="0" collapsed="false">
      <c r="B767" s="7"/>
      <c r="E767" s="7"/>
    </row>
    <row r="768" customFormat="false" ht="13.8" hidden="false" customHeight="false" outlineLevel="0" collapsed="false">
      <c r="B768" s="7"/>
      <c r="E768" s="7"/>
    </row>
    <row r="769" customFormat="false" ht="13.8" hidden="false" customHeight="false" outlineLevel="0" collapsed="false">
      <c r="B769" s="7"/>
      <c r="E769" s="7"/>
    </row>
    <row r="770" customFormat="false" ht="13.8" hidden="false" customHeight="false" outlineLevel="0" collapsed="false">
      <c r="B770" s="7"/>
      <c r="E770" s="7"/>
    </row>
    <row r="771" customFormat="false" ht="13.8" hidden="false" customHeight="false" outlineLevel="0" collapsed="false">
      <c r="B771" s="7"/>
      <c r="E771" s="7"/>
    </row>
    <row r="772" customFormat="false" ht="13.8" hidden="false" customHeight="false" outlineLevel="0" collapsed="false">
      <c r="B772" s="7"/>
      <c r="E772" s="7"/>
    </row>
    <row r="773" customFormat="false" ht="13.8" hidden="false" customHeight="false" outlineLevel="0" collapsed="false">
      <c r="B773" s="7"/>
      <c r="E773" s="7"/>
    </row>
    <row r="774" customFormat="false" ht="13.8" hidden="false" customHeight="false" outlineLevel="0" collapsed="false">
      <c r="B774" s="7"/>
      <c r="E774" s="7"/>
    </row>
    <row r="775" customFormat="false" ht="13.8" hidden="false" customHeight="false" outlineLevel="0" collapsed="false">
      <c r="B775" s="7"/>
      <c r="E775" s="7"/>
    </row>
    <row r="776" customFormat="false" ht="13.8" hidden="false" customHeight="false" outlineLevel="0" collapsed="false">
      <c r="B776" s="7"/>
      <c r="E776" s="7"/>
    </row>
    <row r="777" customFormat="false" ht="13.8" hidden="false" customHeight="false" outlineLevel="0" collapsed="false">
      <c r="B777" s="7"/>
      <c r="E777" s="7"/>
    </row>
    <row r="778" customFormat="false" ht="13.8" hidden="false" customHeight="false" outlineLevel="0" collapsed="false">
      <c r="B778" s="7"/>
      <c r="E778" s="7"/>
    </row>
    <row r="779" customFormat="false" ht="13.8" hidden="false" customHeight="false" outlineLevel="0" collapsed="false">
      <c r="B779" s="7"/>
      <c r="E779" s="7"/>
    </row>
    <row r="780" customFormat="false" ht="13.8" hidden="false" customHeight="false" outlineLevel="0" collapsed="false">
      <c r="B780" s="7"/>
      <c r="E780" s="7"/>
    </row>
    <row r="781" customFormat="false" ht="13.8" hidden="false" customHeight="false" outlineLevel="0" collapsed="false">
      <c r="B781" s="7"/>
      <c r="E781" s="7"/>
    </row>
    <row r="782" customFormat="false" ht="13.8" hidden="false" customHeight="false" outlineLevel="0" collapsed="false">
      <c r="B782" s="7"/>
      <c r="E782" s="7"/>
    </row>
    <row r="783" customFormat="false" ht="13.8" hidden="false" customHeight="false" outlineLevel="0" collapsed="false">
      <c r="B783" s="7"/>
      <c r="E783" s="7"/>
    </row>
    <row r="784" customFormat="false" ht="13.8" hidden="false" customHeight="false" outlineLevel="0" collapsed="false">
      <c r="B784" s="7"/>
      <c r="E784" s="7"/>
    </row>
    <row r="785" customFormat="false" ht="13.8" hidden="false" customHeight="false" outlineLevel="0" collapsed="false">
      <c r="B785" s="7"/>
      <c r="E785" s="7"/>
    </row>
    <row r="786" customFormat="false" ht="13.8" hidden="false" customHeight="false" outlineLevel="0" collapsed="false">
      <c r="B786" s="7"/>
      <c r="E786" s="7"/>
    </row>
    <row r="787" customFormat="false" ht="13.8" hidden="false" customHeight="false" outlineLevel="0" collapsed="false">
      <c r="B787" s="7"/>
      <c r="E787" s="7"/>
    </row>
    <row r="788" customFormat="false" ht="13.8" hidden="false" customHeight="false" outlineLevel="0" collapsed="false">
      <c r="B788" s="7"/>
      <c r="E788" s="7"/>
    </row>
    <row r="789" customFormat="false" ht="13.8" hidden="false" customHeight="false" outlineLevel="0" collapsed="false">
      <c r="B789" s="7"/>
      <c r="E789" s="7"/>
    </row>
    <row r="790" customFormat="false" ht="13.8" hidden="false" customHeight="false" outlineLevel="0" collapsed="false">
      <c r="B790" s="7"/>
      <c r="E790" s="7"/>
    </row>
    <row r="791" customFormat="false" ht="13.8" hidden="false" customHeight="false" outlineLevel="0" collapsed="false">
      <c r="B791" s="7"/>
      <c r="E791" s="7"/>
    </row>
    <row r="792" customFormat="false" ht="13.8" hidden="false" customHeight="false" outlineLevel="0" collapsed="false">
      <c r="B792" s="7"/>
      <c r="E792" s="7"/>
    </row>
    <row r="793" customFormat="false" ht="13.8" hidden="false" customHeight="false" outlineLevel="0" collapsed="false">
      <c r="B793" s="7"/>
      <c r="E793" s="7"/>
    </row>
    <row r="794" customFormat="false" ht="13.8" hidden="false" customHeight="false" outlineLevel="0" collapsed="false">
      <c r="B794" s="7"/>
      <c r="E794" s="7"/>
    </row>
    <row r="795" customFormat="false" ht="13.8" hidden="false" customHeight="false" outlineLevel="0" collapsed="false">
      <c r="B795" s="7"/>
      <c r="E795" s="7"/>
    </row>
    <row r="796" customFormat="false" ht="13.8" hidden="false" customHeight="false" outlineLevel="0" collapsed="false">
      <c r="B796" s="7"/>
      <c r="E796" s="7"/>
    </row>
    <row r="797" customFormat="false" ht="13.8" hidden="false" customHeight="false" outlineLevel="0" collapsed="false">
      <c r="B797" s="7"/>
      <c r="E797" s="7"/>
    </row>
    <row r="798" customFormat="false" ht="13.8" hidden="false" customHeight="false" outlineLevel="0" collapsed="false">
      <c r="B798" s="7"/>
      <c r="E798" s="7"/>
    </row>
    <row r="799" customFormat="false" ht="13.8" hidden="false" customHeight="false" outlineLevel="0" collapsed="false">
      <c r="B799" s="7"/>
      <c r="E799" s="7"/>
    </row>
    <row r="800" customFormat="false" ht="13.8" hidden="false" customHeight="false" outlineLevel="0" collapsed="false">
      <c r="B800" s="7"/>
      <c r="E800" s="7"/>
    </row>
    <row r="801" customFormat="false" ht="13.8" hidden="false" customHeight="false" outlineLevel="0" collapsed="false">
      <c r="B801" s="7"/>
      <c r="E801" s="7"/>
    </row>
    <row r="802" customFormat="false" ht="13.8" hidden="false" customHeight="false" outlineLevel="0" collapsed="false">
      <c r="B802" s="7"/>
      <c r="E802" s="7"/>
    </row>
    <row r="803" customFormat="false" ht="13.8" hidden="false" customHeight="false" outlineLevel="0" collapsed="false">
      <c r="B803" s="7"/>
      <c r="E803" s="7"/>
    </row>
    <row r="804" customFormat="false" ht="13.8" hidden="false" customHeight="false" outlineLevel="0" collapsed="false">
      <c r="B804" s="7"/>
      <c r="E804" s="7"/>
    </row>
    <row r="805" customFormat="false" ht="13.8" hidden="false" customHeight="false" outlineLevel="0" collapsed="false">
      <c r="B805" s="7"/>
      <c r="E805" s="7"/>
    </row>
    <row r="806" customFormat="false" ht="13.8" hidden="false" customHeight="false" outlineLevel="0" collapsed="false">
      <c r="B806" s="7"/>
      <c r="E806" s="7"/>
    </row>
    <row r="807" customFormat="false" ht="13.8" hidden="false" customHeight="false" outlineLevel="0" collapsed="false">
      <c r="B807" s="7"/>
      <c r="E807" s="7"/>
    </row>
    <row r="808" customFormat="false" ht="13.8" hidden="false" customHeight="false" outlineLevel="0" collapsed="false">
      <c r="B808" s="7"/>
      <c r="E808" s="7"/>
    </row>
    <row r="809" customFormat="false" ht="13.8" hidden="false" customHeight="false" outlineLevel="0" collapsed="false">
      <c r="B809" s="7"/>
      <c r="E809" s="7"/>
    </row>
    <row r="810" customFormat="false" ht="13.8" hidden="false" customHeight="false" outlineLevel="0" collapsed="false">
      <c r="B810" s="7"/>
      <c r="E810" s="7"/>
    </row>
    <row r="811" customFormat="false" ht="13.8" hidden="false" customHeight="false" outlineLevel="0" collapsed="false">
      <c r="B811" s="7"/>
      <c r="E811" s="7"/>
    </row>
    <row r="812" customFormat="false" ht="13.8" hidden="false" customHeight="false" outlineLevel="0" collapsed="false">
      <c r="B812" s="7"/>
      <c r="E812" s="7"/>
    </row>
    <row r="813" customFormat="false" ht="13.8" hidden="false" customHeight="false" outlineLevel="0" collapsed="false">
      <c r="B813" s="7"/>
      <c r="E813" s="7"/>
    </row>
    <row r="814" customFormat="false" ht="13.8" hidden="false" customHeight="false" outlineLevel="0" collapsed="false">
      <c r="B814" s="7"/>
      <c r="E814" s="7"/>
    </row>
    <row r="815" customFormat="false" ht="13.8" hidden="false" customHeight="false" outlineLevel="0" collapsed="false">
      <c r="B815" s="7"/>
      <c r="E815" s="7"/>
    </row>
    <row r="816" customFormat="false" ht="13.8" hidden="false" customHeight="false" outlineLevel="0" collapsed="false">
      <c r="B816" s="7"/>
      <c r="E816" s="7"/>
    </row>
    <row r="817" customFormat="false" ht="13.8" hidden="false" customHeight="false" outlineLevel="0" collapsed="false">
      <c r="B817" s="7"/>
      <c r="E817" s="7"/>
    </row>
    <row r="818" customFormat="false" ht="13.8" hidden="false" customHeight="false" outlineLevel="0" collapsed="false">
      <c r="B818" s="7"/>
      <c r="E818" s="7"/>
    </row>
    <row r="819" customFormat="false" ht="13.8" hidden="false" customHeight="false" outlineLevel="0" collapsed="false">
      <c r="B819" s="7"/>
      <c r="E819" s="7"/>
    </row>
    <row r="820" customFormat="false" ht="13.8" hidden="false" customHeight="false" outlineLevel="0" collapsed="false">
      <c r="B820" s="7"/>
      <c r="E820" s="7"/>
    </row>
    <row r="821" customFormat="false" ht="13.8" hidden="false" customHeight="false" outlineLevel="0" collapsed="false">
      <c r="B821" s="7"/>
      <c r="E821" s="7"/>
    </row>
    <row r="822" customFormat="false" ht="13.8" hidden="false" customHeight="false" outlineLevel="0" collapsed="false">
      <c r="B822" s="7"/>
      <c r="E822" s="7"/>
    </row>
    <row r="823" customFormat="false" ht="13.8" hidden="false" customHeight="false" outlineLevel="0" collapsed="false">
      <c r="B823" s="7"/>
      <c r="E823" s="7"/>
    </row>
    <row r="824" customFormat="false" ht="13.8" hidden="false" customHeight="false" outlineLevel="0" collapsed="false">
      <c r="B824" s="7"/>
      <c r="E824" s="7"/>
    </row>
    <row r="825" customFormat="false" ht="13.8" hidden="false" customHeight="false" outlineLevel="0" collapsed="false">
      <c r="B825" s="7"/>
      <c r="E825" s="7"/>
    </row>
    <row r="826" customFormat="false" ht="13.8" hidden="false" customHeight="false" outlineLevel="0" collapsed="false">
      <c r="B826" s="7"/>
      <c r="E826" s="7"/>
    </row>
    <row r="827" customFormat="false" ht="13.8" hidden="false" customHeight="false" outlineLevel="0" collapsed="false">
      <c r="B827" s="7"/>
      <c r="E827" s="7"/>
    </row>
    <row r="828" customFormat="false" ht="13.8" hidden="false" customHeight="false" outlineLevel="0" collapsed="false">
      <c r="B828" s="7"/>
      <c r="E828" s="7"/>
    </row>
    <row r="829" customFormat="false" ht="13.8" hidden="false" customHeight="false" outlineLevel="0" collapsed="false">
      <c r="B829" s="7"/>
      <c r="E829" s="7"/>
    </row>
    <row r="830" customFormat="false" ht="13.8" hidden="false" customHeight="false" outlineLevel="0" collapsed="false">
      <c r="B830" s="7"/>
      <c r="E830" s="7"/>
    </row>
    <row r="831" customFormat="false" ht="13.8" hidden="false" customHeight="false" outlineLevel="0" collapsed="false">
      <c r="B831" s="7"/>
      <c r="E831" s="7"/>
    </row>
    <row r="832" customFormat="false" ht="13.8" hidden="false" customHeight="false" outlineLevel="0" collapsed="false">
      <c r="B832" s="7"/>
      <c r="E832" s="7"/>
    </row>
    <row r="833" customFormat="false" ht="13.8" hidden="false" customHeight="false" outlineLevel="0" collapsed="false">
      <c r="B833" s="7"/>
      <c r="E833" s="7"/>
    </row>
    <row r="834" customFormat="false" ht="13.8" hidden="false" customHeight="false" outlineLevel="0" collapsed="false">
      <c r="B834" s="7"/>
      <c r="E834" s="7"/>
    </row>
    <row r="835" customFormat="false" ht="13.8" hidden="false" customHeight="false" outlineLevel="0" collapsed="false">
      <c r="B835" s="7"/>
      <c r="E835" s="7"/>
    </row>
    <row r="836" customFormat="false" ht="13.8" hidden="false" customHeight="false" outlineLevel="0" collapsed="false">
      <c r="B836" s="7"/>
      <c r="E836" s="7"/>
    </row>
    <row r="837" customFormat="false" ht="13.8" hidden="false" customHeight="false" outlineLevel="0" collapsed="false">
      <c r="B837" s="7"/>
      <c r="E837" s="7"/>
    </row>
    <row r="838" customFormat="false" ht="13.8" hidden="false" customHeight="false" outlineLevel="0" collapsed="false">
      <c r="B838" s="7"/>
      <c r="E838" s="7"/>
    </row>
    <row r="839" customFormat="false" ht="13.8" hidden="false" customHeight="false" outlineLevel="0" collapsed="false">
      <c r="B839" s="7"/>
      <c r="E839" s="7"/>
    </row>
    <row r="840" customFormat="false" ht="13.8" hidden="false" customHeight="false" outlineLevel="0" collapsed="false">
      <c r="B840" s="7"/>
      <c r="E840" s="7"/>
    </row>
    <row r="841" customFormat="false" ht="13.8" hidden="false" customHeight="false" outlineLevel="0" collapsed="false">
      <c r="B841" s="7"/>
      <c r="E841" s="7"/>
    </row>
    <row r="842" customFormat="false" ht="13.8" hidden="false" customHeight="false" outlineLevel="0" collapsed="false">
      <c r="B842" s="7"/>
      <c r="E842" s="7"/>
    </row>
    <row r="843" customFormat="false" ht="13.8" hidden="false" customHeight="false" outlineLevel="0" collapsed="false">
      <c r="B843" s="7"/>
      <c r="E843" s="7"/>
    </row>
    <row r="844" customFormat="false" ht="13.8" hidden="false" customHeight="false" outlineLevel="0" collapsed="false">
      <c r="B844" s="7"/>
      <c r="E844" s="7"/>
    </row>
    <row r="845" customFormat="false" ht="13.8" hidden="false" customHeight="false" outlineLevel="0" collapsed="false">
      <c r="B845" s="7"/>
      <c r="E845" s="7"/>
    </row>
    <row r="846" customFormat="false" ht="13.8" hidden="false" customHeight="false" outlineLevel="0" collapsed="false">
      <c r="B846" s="7"/>
      <c r="E846" s="7"/>
    </row>
    <row r="847" customFormat="false" ht="13.8" hidden="false" customHeight="false" outlineLevel="0" collapsed="false">
      <c r="B847" s="7"/>
      <c r="E847" s="7"/>
    </row>
    <row r="848" customFormat="false" ht="13.8" hidden="false" customHeight="false" outlineLevel="0" collapsed="false">
      <c r="B848" s="7"/>
      <c r="E848" s="7"/>
    </row>
    <row r="849" customFormat="false" ht="13.8" hidden="false" customHeight="false" outlineLevel="0" collapsed="false">
      <c r="B849" s="7"/>
      <c r="E849" s="7"/>
    </row>
    <row r="850" customFormat="false" ht="13.8" hidden="false" customHeight="false" outlineLevel="0" collapsed="false">
      <c r="B850" s="7"/>
      <c r="E850" s="7"/>
    </row>
    <row r="851" customFormat="false" ht="13.8" hidden="false" customHeight="false" outlineLevel="0" collapsed="false">
      <c r="B851" s="7"/>
      <c r="E851" s="7"/>
    </row>
    <row r="852" customFormat="false" ht="13.8" hidden="false" customHeight="false" outlineLevel="0" collapsed="false">
      <c r="B852" s="7"/>
      <c r="E852" s="7"/>
    </row>
    <row r="853" customFormat="false" ht="13.8" hidden="false" customHeight="false" outlineLevel="0" collapsed="false">
      <c r="B853" s="7"/>
      <c r="E853" s="7"/>
    </row>
    <row r="854" customFormat="false" ht="13.8" hidden="false" customHeight="false" outlineLevel="0" collapsed="false">
      <c r="B854" s="7"/>
      <c r="E854" s="7"/>
    </row>
    <row r="855" customFormat="false" ht="13.8" hidden="false" customHeight="false" outlineLevel="0" collapsed="false">
      <c r="B855" s="7"/>
      <c r="E855" s="7"/>
    </row>
    <row r="856" customFormat="false" ht="13.8" hidden="false" customHeight="false" outlineLevel="0" collapsed="false">
      <c r="B856" s="7"/>
      <c r="E856" s="7"/>
    </row>
    <row r="857" customFormat="false" ht="13.8" hidden="false" customHeight="false" outlineLevel="0" collapsed="false">
      <c r="B857" s="7"/>
      <c r="E857" s="7"/>
    </row>
    <row r="858" customFormat="false" ht="13.8" hidden="false" customHeight="false" outlineLevel="0" collapsed="false">
      <c r="B858" s="7"/>
      <c r="E858" s="7"/>
    </row>
    <row r="859" customFormat="false" ht="13.8" hidden="false" customHeight="false" outlineLevel="0" collapsed="false">
      <c r="B859" s="7"/>
      <c r="E859" s="7"/>
    </row>
    <row r="860" customFormat="false" ht="13.8" hidden="false" customHeight="false" outlineLevel="0" collapsed="false">
      <c r="B860" s="7"/>
      <c r="E860" s="7"/>
    </row>
    <row r="861" customFormat="false" ht="13.8" hidden="false" customHeight="false" outlineLevel="0" collapsed="false">
      <c r="B861" s="7"/>
      <c r="E861" s="7"/>
    </row>
    <row r="862" customFormat="false" ht="13.8" hidden="false" customHeight="false" outlineLevel="0" collapsed="false">
      <c r="B862" s="7"/>
      <c r="E862" s="7"/>
    </row>
    <row r="863" customFormat="false" ht="13.8" hidden="false" customHeight="false" outlineLevel="0" collapsed="false">
      <c r="B863" s="7"/>
      <c r="E863" s="7"/>
    </row>
    <row r="864" customFormat="false" ht="13.8" hidden="false" customHeight="false" outlineLevel="0" collapsed="false">
      <c r="B864" s="7"/>
      <c r="E864" s="7"/>
    </row>
    <row r="865" customFormat="false" ht="13.8" hidden="false" customHeight="false" outlineLevel="0" collapsed="false">
      <c r="B865" s="7"/>
      <c r="E865" s="7"/>
    </row>
    <row r="866" customFormat="false" ht="13.8" hidden="false" customHeight="false" outlineLevel="0" collapsed="false">
      <c r="B866" s="7"/>
      <c r="E866" s="7"/>
    </row>
    <row r="867" customFormat="false" ht="13.8" hidden="false" customHeight="false" outlineLevel="0" collapsed="false">
      <c r="B867" s="7"/>
      <c r="E867" s="7"/>
    </row>
    <row r="868" customFormat="false" ht="13.8" hidden="false" customHeight="false" outlineLevel="0" collapsed="false">
      <c r="B868" s="7"/>
      <c r="E868" s="7"/>
    </row>
    <row r="869" customFormat="false" ht="13.8" hidden="false" customHeight="false" outlineLevel="0" collapsed="false">
      <c r="B869" s="7"/>
      <c r="E869" s="7"/>
    </row>
    <row r="870" customFormat="false" ht="13.8" hidden="false" customHeight="false" outlineLevel="0" collapsed="false">
      <c r="B870" s="7"/>
      <c r="E870" s="7"/>
    </row>
    <row r="871" customFormat="false" ht="13.8" hidden="false" customHeight="false" outlineLevel="0" collapsed="false">
      <c r="B871" s="7"/>
      <c r="E871" s="7"/>
    </row>
    <row r="872" customFormat="false" ht="13.8" hidden="false" customHeight="false" outlineLevel="0" collapsed="false">
      <c r="B872" s="7"/>
      <c r="E872" s="7"/>
    </row>
    <row r="873" customFormat="false" ht="13.8" hidden="false" customHeight="false" outlineLevel="0" collapsed="false">
      <c r="B873" s="7"/>
      <c r="E873" s="7"/>
    </row>
    <row r="874" customFormat="false" ht="13.8" hidden="false" customHeight="false" outlineLevel="0" collapsed="false">
      <c r="B874" s="7"/>
      <c r="E874" s="7"/>
    </row>
    <row r="875" customFormat="false" ht="13.8" hidden="false" customHeight="false" outlineLevel="0" collapsed="false">
      <c r="B875" s="7"/>
      <c r="E875" s="7"/>
    </row>
    <row r="876" customFormat="false" ht="13.8" hidden="false" customHeight="false" outlineLevel="0" collapsed="false">
      <c r="B876" s="7"/>
      <c r="E876" s="7"/>
    </row>
    <row r="877" customFormat="false" ht="13.8" hidden="false" customHeight="false" outlineLevel="0" collapsed="false">
      <c r="B877" s="7"/>
      <c r="E877" s="7"/>
    </row>
    <row r="878" customFormat="false" ht="13.8" hidden="false" customHeight="false" outlineLevel="0" collapsed="false">
      <c r="B878" s="7"/>
      <c r="E878" s="7"/>
    </row>
    <row r="879" customFormat="false" ht="13.8" hidden="false" customHeight="false" outlineLevel="0" collapsed="false">
      <c r="B879" s="7"/>
      <c r="E879" s="7"/>
    </row>
    <row r="880" customFormat="false" ht="13.8" hidden="false" customHeight="false" outlineLevel="0" collapsed="false">
      <c r="B880" s="7"/>
      <c r="E880" s="7"/>
    </row>
    <row r="881" customFormat="false" ht="13.8" hidden="false" customHeight="false" outlineLevel="0" collapsed="false">
      <c r="B881" s="7"/>
      <c r="E881" s="7"/>
    </row>
    <row r="882" customFormat="false" ht="13.8" hidden="false" customHeight="false" outlineLevel="0" collapsed="false">
      <c r="B882" s="7"/>
      <c r="E882" s="7"/>
    </row>
    <row r="883" customFormat="false" ht="13.8" hidden="false" customHeight="false" outlineLevel="0" collapsed="false">
      <c r="B883" s="7"/>
      <c r="E883" s="7"/>
    </row>
    <row r="884" customFormat="false" ht="13.8" hidden="false" customHeight="false" outlineLevel="0" collapsed="false">
      <c r="B884" s="7"/>
      <c r="E884" s="7"/>
    </row>
    <row r="885" customFormat="false" ht="13.8" hidden="false" customHeight="false" outlineLevel="0" collapsed="false">
      <c r="B885" s="7"/>
      <c r="E885" s="7"/>
    </row>
    <row r="886" customFormat="false" ht="13.8" hidden="false" customHeight="false" outlineLevel="0" collapsed="false">
      <c r="B886" s="7"/>
      <c r="E886" s="7"/>
    </row>
    <row r="887" customFormat="false" ht="13.8" hidden="false" customHeight="false" outlineLevel="0" collapsed="false">
      <c r="B887" s="7"/>
      <c r="E887" s="7"/>
    </row>
    <row r="888" customFormat="false" ht="13.8" hidden="false" customHeight="false" outlineLevel="0" collapsed="false">
      <c r="B888" s="7"/>
      <c r="E888" s="7"/>
    </row>
    <row r="889" customFormat="false" ht="13.8" hidden="false" customHeight="false" outlineLevel="0" collapsed="false">
      <c r="B889" s="7"/>
      <c r="E889" s="7"/>
    </row>
    <row r="890" customFormat="false" ht="13.8" hidden="false" customHeight="false" outlineLevel="0" collapsed="false">
      <c r="B890" s="7"/>
      <c r="E890" s="7"/>
    </row>
    <row r="891" customFormat="false" ht="13.8" hidden="false" customHeight="false" outlineLevel="0" collapsed="false">
      <c r="B891" s="7"/>
      <c r="E891" s="7"/>
    </row>
    <row r="892" customFormat="false" ht="13.8" hidden="false" customHeight="false" outlineLevel="0" collapsed="false">
      <c r="B892" s="7"/>
      <c r="E892" s="7"/>
    </row>
    <row r="893" customFormat="false" ht="13.8" hidden="false" customHeight="false" outlineLevel="0" collapsed="false">
      <c r="B893" s="7"/>
      <c r="E893" s="7"/>
    </row>
    <row r="894" customFormat="false" ht="13.8" hidden="false" customHeight="false" outlineLevel="0" collapsed="false">
      <c r="B894" s="7"/>
      <c r="E894" s="7"/>
    </row>
    <row r="895" customFormat="false" ht="13.8" hidden="false" customHeight="false" outlineLevel="0" collapsed="false">
      <c r="B895" s="7"/>
      <c r="E895" s="7"/>
    </row>
    <row r="896" customFormat="false" ht="13.8" hidden="false" customHeight="false" outlineLevel="0" collapsed="false">
      <c r="B896" s="7"/>
      <c r="E896" s="7"/>
    </row>
    <row r="897" customFormat="false" ht="13.8" hidden="false" customHeight="false" outlineLevel="0" collapsed="false">
      <c r="B897" s="7"/>
      <c r="E897" s="7"/>
    </row>
    <row r="898" customFormat="false" ht="13.8" hidden="false" customHeight="false" outlineLevel="0" collapsed="false">
      <c r="B898" s="7"/>
      <c r="E898" s="7"/>
    </row>
    <row r="899" customFormat="false" ht="13.8" hidden="false" customHeight="false" outlineLevel="0" collapsed="false">
      <c r="B899" s="7"/>
      <c r="E899" s="7"/>
    </row>
    <row r="900" customFormat="false" ht="13.8" hidden="false" customHeight="false" outlineLevel="0" collapsed="false">
      <c r="B900" s="7"/>
      <c r="E900" s="7"/>
    </row>
    <row r="901" customFormat="false" ht="13.8" hidden="false" customHeight="false" outlineLevel="0" collapsed="false">
      <c r="B901" s="7"/>
      <c r="E901" s="7"/>
    </row>
    <row r="902" customFormat="false" ht="13.8" hidden="false" customHeight="false" outlineLevel="0" collapsed="false">
      <c r="B902" s="7"/>
      <c r="E902" s="7"/>
    </row>
    <row r="903" customFormat="false" ht="13.8" hidden="false" customHeight="false" outlineLevel="0" collapsed="false">
      <c r="B903" s="7"/>
      <c r="E903" s="7"/>
    </row>
    <row r="904" customFormat="false" ht="13.8" hidden="false" customHeight="false" outlineLevel="0" collapsed="false">
      <c r="B904" s="7"/>
      <c r="E904" s="7"/>
    </row>
    <row r="905" customFormat="false" ht="13.8" hidden="false" customHeight="false" outlineLevel="0" collapsed="false">
      <c r="B905" s="7"/>
      <c r="E905" s="7"/>
    </row>
    <row r="906" customFormat="false" ht="13.8" hidden="false" customHeight="false" outlineLevel="0" collapsed="false">
      <c r="B906" s="7"/>
      <c r="E906" s="7"/>
    </row>
    <row r="907" customFormat="false" ht="13.8" hidden="false" customHeight="false" outlineLevel="0" collapsed="false">
      <c r="B907" s="7"/>
      <c r="E907" s="7"/>
    </row>
    <row r="908" customFormat="false" ht="13.8" hidden="false" customHeight="false" outlineLevel="0" collapsed="false">
      <c r="B908" s="7"/>
      <c r="E908" s="7"/>
    </row>
    <row r="909" customFormat="false" ht="13.8" hidden="false" customHeight="false" outlineLevel="0" collapsed="false">
      <c r="B909" s="7"/>
      <c r="E909" s="7"/>
    </row>
    <row r="910" customFormat="false" ht="13.8" hidden="false" customHeight="false" outlineLevel="0" collapsed="false">
      <c r="B910" s="7"/>
      <c r="E910" s="7"/>
    </row>
    <row r="911" customFormat="false" ht="13.8" hidden="false" customHeight="false" outlineLevel="0" collapsed="false">
      <c r="B911" s="7"/>
      <c r="E911" s="7"/>
    </row>
    <row r="912" customFormat="false" ht="13.8" hidden="false" customHeight="false" outlineLevel="0" collapsed="false">
      <c r="B912" s="7"/>
      <c r="E912" s="7"/>
    </row>
    <row r="913" customFormat="false" ht="13.8" hidden="false" customHeight="false" outlineLevel="0" collapsed="false">
      <c r="B913" s="7"/>
      <c r="E913" s="7"/>
    </row>
    <row r="914" customFormat="false" ht="13.8" hidden="false" customHeight="false" outlineLevel="0" collapsed="false">
      <c r="B914" s="7"/>
      <c r="E914" s="7"/>
    </row>
    <row r="915" customFormat="false" ht="13.8" hidden="false" customHeight="false" outlineLevel="0" collapsed="false">
      <c r="B915" s="7"/>
      <c r="E915" s="7"/>
    </row>
    <row r="916" customFormat="false" ht="13.8" hidden="false" customHeight="false" outlineLevel="0" collapsed="false">
      <c r="B916" s="7"/>
      <c r="E916" s="7"/>
    </row>
    <row r="917" customFormat="false" ht="13.8" hidden="false" customHeight="false" outlineLevel="0" collapsed="false">
      <c r="B917" s="7"/>
      <c r="E917" s="7"/>
    </row>
    <row r="918" customFormat="false" ht="13.8" hidden="false" customHeight="false" outlineLevel="0" collapsed="false">
      <c r="B918" s="7"/>
      <c r="E918" s="7"/>
    </row>
    <row r="919" customFormat="false" ht="13.8" hidden="false" customHeight="false" outlineLevel="0" collapsed="false">
      <c r="B919" s="7"/>
      <c r="E919" s="7"/>
    </row>
    <row r="920" customFormat="false" ht="13.8" hidden="false" customHeight="false" outlineLevel="0" collapsed="false">
      <c r="B920" s="7"/>
      <c r="E920" s="7"/>
    </row>
    <row r="921" customFormat="false" ht="13.8" hidden="false" customHeight="false" outlineLevel="0" collapsed="false">
      <c r="B921" s="7"/>
      <c r="E921" s="7"/>
    </row>
    <row r="922" customFormat="false" ht="13.8" hidden="false" customHeight="false" outlineLevel="0" collapsed="false">
      <c r="B922" s="7"/>
      <c r="E922" s="7"/>
    </row>
    <row r="923" customFormat="false" ht="13.8" hidden="false" customHeight="false" outlineLevel="0" collapsed="false">
      <c r="B923" s="7"/>
      <c r="E923" s="7"/>
    </row>
    <row r="924" customFormat="false" ht="13.8" hidden="false" customHeight="false" outlineLevel="0" collapsed="false">
      <c r="B924" s="7"/>
      <c r="E924" s="7"/>
    </row>
    <row r="925" customFormat="false" ht="13.8" hidden="false" customHeight="false" outlineLevel="0" collapsed="false">
      <c r="B925" s="7"/>
      <c r="E925" s="7"/>
    </row>
    <row r="926" customFormat="false" ht="13.8" hidden="false" customHeight="false" outlineLevel="0" collapsed="false">
      <c r="B926" s="7"/>
      <c r="E926" s="7"/>
    </row>
    <row r="927" customFormat="false" ht="13.8" hidden="false" customHeight="false" outlineLevel="0" collapsed="false">
      <c r="B927" s="7"/>
      <c r="E927" s="7"/>
    </row>
    <row r="928" customFormat="false" ht="13.8" hidden="false" customHeight="false" outlineLevel="0" collapsed="false">
      <c r="B928" s="7"/>
      <c r="E928" s="7"/>
    </row>
    <row r="929" customFormat="false" ht="13.8" hidden="false" customHeight="false" outlineLevel="0" collapsed="false">
      <c r="B929" s="7"/>
      <c r="E929" s="7"/>
    </row>
    <row r="930" customFormat="false" ht="13.8" hidden="false" customHeight="false" outlineLevel="0" collapsed="false">
      <c r="B930" s="7"/>
      <c r="E930" s="7"/>
    </row>
    <row r="931" customFormat="false" ht="13.8" hidden="false" customHeight="false" outlineLevel="0" collapsed="false">
      <c r="B931" s="7"/>
      <c r="E931" s="7"/>
    </row>
    <row r="932" customFormat="false" ht="13.8" hidden="false" customHeight="false" outlineLevel="0" collapsed="false">
      <c r="B932" s="7"/>
      <c r="E932" s="7"/>
    </row>
    <row r="933" customFormat="false" ht="13.8" hidden="false" customHeight="false" outlineLevel="0" collapsed="false">
      <c r="B933" s="7"/>
      <c r="E933" s="7"/>
    </row>
    <row r="934" customFormat="false" ht="13.8" hidden="false" customHeight="false" outlineLevel="0" collapsed="false">
      <c r="B934" s="7"/>
      <c r="E934" s="7"/>
    </row>
    <row r="935" customFormat="false" ht="13.8" hidden="false" customHeight="false" outlineLevel="0" collapsed="false">
      <c r="B935" s="7"/>
      <c r="E935" s="7"/>
    </row>
    <row r="936" customFormat="false" ht="13.8" hidden="false" customHeight="false" outlineLevel="0" collapsed="false">
      <c r="B936" s="7"/>
      <c r="E936" s="7"/>
    </row>
    <row r="937" customFormat="false" ht="13.8" hidden="false" customHeight="false" outlineLevel="0" collapsed="false">
      <c r="B937" s="7"/>
      <c r="E937" s="7"/>
    </row>
    <row r="938" customFormat="false" ht="13.8" hidden="false" customHeight="false" outlineLevel="0" collapsed="false">
      <c r="B938" s="7"/>
      <c r="E938" s="7"/>
    </row>
    <row r="939" customFormat="false" ht="13.8" hidden="false" customHeight="false" outlineLevel="0" collapsed="false">
      <c r="B939" s="7"/>
      <c r="E939" s="7"/>
    </row>
    <row r="940" customFormat="false" ht="13.8" hidden="false" customHeight="false" outlineLevel="0" collapsed="false">
      <c r="B940" s="7"/>
      <c r="E940" s="7"/>
    </row>
    <row r="941" customFormat="false" ht="13.8" hidden="false" customHeight="false" outlineLevel="0" collapsed="false">
      <c r="B941" s="7"/>
      <c r="E941" s="7"/>
    </row>
    <row r="942" customFormat="false" ht="13.8" hidden="false" customHeight="false" outlineLevel="0" collapsed="false">
      <c r="B942" s="7"/>
      <c r="E942" s="7"/>
    </row>
    <row r="943" customFormat="false" ht="13.8" hidden="false" customHeight="false" outlineLevel="0" collapsed="false">
      <c r="B943" s="7"/>
      <c r="E943" s="7"/>
    </row>
    <row r="944" customFormat="false" ht="13.8" hidden="false" customHeight="false" outlineLevel="0" collapsed="false">
      <c r="B944" s="7"/>
      <c r="E944" s="7"/>
    </row>
    <row r="945" customFormat="false" ht="13.8" hidden="false" customHeight="false" outlineLevel="0" collapsed="false">
      <c r="B945" s="7"/>
      <c r="E945" s="7"/>
    </row>
    <row r="946" customFormat="false" ht="13.8" hidden="false" customHeight="false" outlineLevel="0" collapsed="false">
      <c r="B946" s="7"/>
      <c r="E946" s="7"/>
    </row>
    <row r="947" customFormat="false" ht="13.8" hidden="false" customHeight="false" outlineLevel="0" collapsed="false">
      <c r="B947" s="7"/>
      <c r="E947" s="7"/>
    </row>
    <row r="948" customFormat="false" ht="13.8" hidden="false" customHeight="false" outlineLevel="0" collapsed="false">
      <c r="B948" s="7"/>
      <c r="E948" s="7"/>
    </row>
    <row r="949" customFormat="false" ht="13.8" hidden="false" customHeight="false" outlineLevel="0" collapsed="false">
      <c r="B949" s="7"/>
      <c r="E949" s="7"/>
    </row>
    <row r="950" customFormat="false" ht="13.8" hidden="false" customHeight="false" outlineLevel="0" collapsed="false">
      <c r="B950" s="7"/>
      <c r="E950" s="7"/>
    </row>
    <row r="951" customFormat="false" ht="13.8" hidden="false" customHeight="false" outlineLevel="0" collapsed="false">
      <c r="B951" s="7"/>
      <c r="E951" s="7"/>
    </row>
    <row r="952" customFormat="false" ht="13.8" hidden="false" customHeight="false" outlineLevel="0" collapsed="false">
      <c r="B952" s="7"/>
      <c r="E952" s="7"/>
    </row>
    <row r="953" customFormat="false" ht="13.8" hidden="false" customHeight="false" outlineLevel="0" collapsed="false">
      <c r="B953" s="7"/>
      <c r="E953" s="7"/>
    </row>
    <row r="954" customFormat="false" ht="13.8" hidden="false" customHeight="false" outlineLevel="0" collapsed="false">
      <c r="B954" s="7"/>
      <c r="E954" s="7"/>
    </row>
    <row r="955" customFormat="false" ht="13.8" hidden="false" customHeight="false" outlineLevel="0" collapsed="false">
      <c r="B955" s="7"/>
      <c r="E955" s="7"/>
    </row>
    <row r="956" customFormat="false" ht="13.8" hidden="false" customHeight="false" outlineLevel="0" collapsed="false">
      <c r="B956" s="7"/>
      <c r="E956" s="7"/>
    </row>
    <row r="957" customFormat="false" ht="13.8" hidden="false" customHeight="false" outlineLevel="0" collapsed="false">
      <c r="B957" s="7"/>
      <c r="E957" s="7"/>
    </row>
    <row r="958" customFormat="false" ht="13.8" hidden="false" customHeight="false" outlineLevel="0" collapsed="false">
      <c r="B958" s="7"/>
      <c r="E958" s="7"/>
    </row>
    <row r="959" customFormat="false" ht="13.8" hidden="false" customHeight="false" outlineLevel="0" collapsed="false">
      <c r="B959" s="7"/>
      <c r="E959" s="7"/>
    </row>
    <row r="960" customFormat="false" ht="13.8" hidden="false" customHeight="false" outlineLevel="0" collapsed="false">
      <c r="B960" s="7"/>
      <c r="E960" s="7"/>
    </row>
    <row r="961" customFormat="false" ht="13.8" hidden="false" customHeight="false" outlineLevel="0" collapsed="false">
      <c r="B961" s="7"/>
      <c r="E961" s="7"/>
    </row>
    <row r="962" customFormat="false" ht="13.8" hidden="false" customHeight="false" outlineLevel="0" collapsed="false">
      <c r="B962" s="7"/>
      <c r="E962" s="7"/>
    </row>
    <row r="963" customFormat="false" ht="13.8" hidden="false" customHeight="false" outlineLevel="0" collapsed="false">
      <c r="B963" s="7"/>
      <c r="E963" s="7"/>
    </row>
    <row r="964" customFormat="false" ht="13.8" hidden="false" customHeight="false" outlineLevel="0" collapsed="false">
      <c r="B964" s="7"/>
      <c r="E964" s="7"/>
    </row>
    <row r="965" customFormat="false" ht="13.8" hidden="false" customHeight="false" outlineLevel="0" collapsed="false">
      <c r="B965" s="7"/>
      <c r="E965" s="7"/>
    </row>
    <row r="966" customFormat="false" ht="13.8" hidden="false" customHeight="false" outlineLevel="0" collapsed="false">
      <c r="B966" s="7"/>
      <c r="E966" s="7"/>
    </row>
    <row r="967" customFormat="false" ht="13.8" hidden="false" customHeight="false" outlineLevel="0" collapsed="false">
      <c r="B967" s="7"/>
      <c r="E967" s="7"/>
    </row>
    <row r="968" customFormat="false" ht="13.8" hidden="false" customHeight="false" outlineLevel="0" collapsed="false">
      <c r="B968" s="7"/>
      <c r="E968" s="7"/>
    </row>
    <row r="969" customFormat="false" ht="13.8" hidden="false" customHeight="false" outlineLevel="0" collapsed="false">
      <c r="B969" s="7"/>
      <c r="E969" s="7"/>
    </row>
    <row r="970" customFormat="false" ht="13.8" hidden="false" customHeight="false" outlineLevel="0" collapsed="false">
      <c r="B970" s="7"/>
      <c r="E970" s="7"/>
    </row>
    <row r="971" customFormat="false" ht="13.8" hidden="false" customHeight="false" outlineLevel="0" collapsed="false">
      <c r="B971" s="7"/>
      <c r="E971" s="7"/>
    </row>
    <row r="972" customFormat="false" ht="13.8" hidden="false" customHeight="false" outlineLevel="0" collapsed="false">
      <c r="B972" s="7"/>
      <c r="E972" s="7"/>
    </row>
    <row r="973" customFormat="false" ht="13.8" hidden="false" customHeight="false" outlineLevel="0" collapsed="false">
      <c r="B973" s="7"/>
      <c r="E973" s="7"/>
    </row>
    <row r="974" customFormat="false" ht="13.8" hidden="false" customHeight="false" outlineLevel="0" collapsed="false">
      <c r="B974" s="7"/>
      <c r="E974" s="7"/>
    </row>
    <row r="975" customFormat="false" ht="13.8" hidden="false" customHeight="false" outlineLevel="0" collapsed="false">
      <c r="B975" s="7"/>
      <c r="E975" s="7"/>
    </row>
    <row r="976" customFormat="false" ht="13.8" hidden="false" customHeight="false" outlineLevel="0" collapsed="false">
      <c r="B976" s="7"/>
      <c r="E976" s="7"/>
    </row>
    <row r="977" customFormat="false" ht="13.8" hidden="false" customHeight="false" outlineLevel="0" collapsed="false">
      <c r="B977" s="7"/>
      <c r="E977" s="7"/>
    </row>
    <row r="978" customFormat="false" ht="13.8" hidden="false" customHeight="false" outlineLevel="0" collapsed="false">
      <c r="B978" s="7"/>
      <c r="E978" s="7"/>
    </row>
    <row r="979" customFormat="false" ht="13.8" hidden="false" customHeight="false" outlineLevel="0" collapsed="false">
      <c r="B979" s="7"/>
      <c r="E979" s="7"/>
    </row>
    <row r="980" customFormat="false" ht="13.8" hidden="false" customHeight="false" outlineLevel="0" collapsed="false">
      <c r="B980" s="7"/>
      <c r="E980" s="7"/>
    </row>
    <row r="981" customFormat="false" ht="13.8" hidden="false" customHeight="false" outlineLevel="0" collapsed="false">
      <c r="B981" s="7"/>
      <c r="E981" s="7"/>
    </row>
    <row r="982" customFormat="false" ht="13.8" hidden="false" customHeight="false" outlineLevel="0" collapsed="false">
      <c r="B982" s="7"/>
      <c r="E982" s="7"/>
    </row>
    <row r="983" customFormat="false" ht="13.8" hidden="false" customHeight="false" outlineLevel="0" collapsed="false">
      <c r="B983" s="7"/>
      <c r="E983" s="7"/>
    </row>
    <row r="984" customFormat="false" ht="13.8" hidden="false" customHeight="false" outlineLevel="0" collapsed="false">
      <c r="B984" s="7"/>
      <c r="E984" s="7"/>
    </row>
    <row r="985" customFormat="false" ht="13.8" hidden="false" customHeight="false" outlineLevel="0" collapsed="false">
      <c r="B985" s="7"/>
      <c r="E985" s="7"/>
    </row>
    <row r="986" customFormat="false" ht="13.8" hidden="false" customHeight="false" outlineLevel="0" collapsed="false">
      <c r="B986" s="7"/>
      <c r="E986" s="7"/>
    </row>
    <row r="987" customFormat="false" ht="13.8" hidden="false" customHeight="false" outlineLevel="0" collapsed="false">
      <c r="B987" s="7"/>
      <c r="E987" s="7"/>
    </row>
    <row r="988" customFormat="false" ht="13.8" hidden="false" customHeight="false" outlineLevel="0" collapsed="false">
      <c r="B988" s="7"/>
      <c r="E988" s="7"/>
    </row>
    <row r="989" customFormat="false" ht="13.8" hidden="false" customHeight="false" outlineLevel="0" collapsed="false">
      <c r="B989" s="7"/>
      <c r="E989" s="7"/>
    </row>
    <row r="990" customFormat="false" ht="13.8" hidden="false" customHeight="false" outlineLevel="0" collapsed="false">
      <c r="B990" s="7"/>
      <c r="E990" s="7"/>
    </row>
    <row r="991" customFormat="false" ht="13.8" hidden="false" customHeight="false" outlineLevel="0" collapsed="false">
      <c r="B991" s="7"/>
      <c r="E991" s="7"/>
    </row>
    <row r="992" customFormat="false" ht="13.8" hidden="false" customHeight="false" outlineLevel="0" collapsed="false">
      <c r="B992" s="7"/>
      <c r="E992" s="7"/>
    </row>
    <row r="993" customFormat="false" ht="13.8" hidden="false" customHeight="false" outlineLevel="0" collapsed="false">
      <c r="B993" s="7"/>
      <c r="E993" s="7"/>
    </row>
    <row r="994" customFormat="false" ht="13.8" hidden="false" customHeight="false" outlineLevel="0" collapsed="false">
      <c r="B994" s="7"/>
      <c r="E994" s="7"/>
    </row>
    <row r="995" customFormat="false" ht="13.8" hidden="false" customHeight="false" outlineLevel="0" collapsed="false">
      <c r="B995" s="7"/>
      <c r="E995" s="7"/>
    </row>
    <row r="996" customFormat="false" ht="13.8" hidden="false" customHeight="false" outlineLevel="0" collapsed="false">
      <c r="B996" s="7"/>
      <c r="E996" s="7"/>
    </row>
    <row r="997" customFormat="false" ht="13.8" hidden="false" customHeight="false" outlineLevel="0" collapsed="false">
      <c r="B997" s="7"/>
      <c r="E997" s="7"/>
    </row>
    <row r="998" customFormat="false" ht="13.8" hidden="false" customHeight="false" outlineLevel="0" collapsed="false">
      <c r="B998" s="7"/>
      <c r="E998" s="7"/>
    </row>
    <row r="999" customFormat="false" ht="13.8" hidden="false" customHeight="false" outlineLevel="0" collapsed="false">
      <c r="B999" s="7"/>
      <c r="E999" s="7"/>
    </row>
    <row r="1000" customFormat="false" ht="13.8" hidden="false" customHeight="false" outlineLevel="0" collapsed="false">
      <c r="B1000" s="7"/>
      <c r="E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2023-03-29T01:18:43Z</dcterms:modified>
  <cp:revision>1</cp:revision>
  <dc:subject/>
  <dc:title/>
</cp:coreProperties>
</file>