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/>
  <xr:revisionPtr revIDLastSave="0" documentId="13_ncr:1_{39A4D2DF-0AE5-450B-904B-7F76CD56C5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verview" sheetId="5" r:id="rId1"/>
    <sheet name="Kredite &amp; Benchmarks" sheetId="8" r:id="rId2"/>
    <sheet name="Fonds" sheetId="7" r:id="rId3"/>
    <sheet name="Auszahlung" sheetId="6" r:id="rId4"/>
    <sheet name="Diagramm" sheetId="1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5" l="1"/>
  <c r="H9" i="5"/>
  <c r="G36" i="5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E9" i="5"/>
  <c r="L6" i="11"/>
  <c r="L7" i="11"/>
  <c r="L8" i="11"/>
  <c r="L9" i="11"/>
  <c r="L5" i="11"/>
  <c r="K6" i="11"/>
  <c r="K7" i="11"/>
  <c r="K8" i="11"/>
  <c r="K9" i="11"/>
  <c r="K5" i="11"/>
  <c r="F8" i="5"/>
  <c r="E10" i="5"/>
  <c r="E11" i="5" s="1"/>
  <c r="E12" i="5" s="1"/>
  <c r="E13" i="5" s="1"/>
  <c r="E14" i="5" s="1"/>
  <c r="E15" i="5" s="1"/>
  <c r="E16" i="5" s="1"/>
  <c r="E17" i="5" s="1"/>
  <c r="E18" i="5" s="1"/>
  <c r="E19" i="5" s="1"/>
  <c r="N13" i="5"/>
  <c r="N5" i="5"/>
  <c r="F36" i="5"/>
  <c r="D9" i="5"/>
  <c r="D10" i="5"/>
  <c r="D11" i="5" s="1"/>
  <c r="D12" i="5" s="1"/>
  <c r="D13" i="5" s="1"/>
  <c r="D14" i="5" s="1"/>
  <c r="D15" i="5" s="1"/>
  <c r="D16" i="5" s="1"/>
  <c r="D17" i="5" s="1"/>
  <c r="D18" i="5" s="1"/>
  <c r="D19" i="5" s="1"/>
  <c r="C10" i="5"/>
  <c r="C11" i="5" s="1"/>
  <c r="C12" i="5" s="1"/>
  <c r="C13" i="5" s="1"/>
  <c r="C14" i="5" s="1"/>
  <c r="C15" i="5" s="1"/>
  <c r="C16" i="5" s="1"/>
  <c r="C17" i="5" s="1"/>
  <c r="C18" i="5" s="1"/>
  <c r="C19" i="5" s="1"/>
  <c r="C9" i="5"/>
  <c r="G31" i="5"/>
  <c r="G32" i="5" s="1"/>
  <c r="G33" i="5" s="1"/>
  <c r="G34" i="5" s="1"/>
  <c r="G30" i="5"/>
  <c r="F21" i="5"/>
  <c r="S17" i="5"/>
  <c r="F30" i="5"/>
  <c r="F31" i="5" s="1"/>
  <c r="F32" i="5" s="1"/>
  <c r="F33" i="5" s="1"/>
  <c r="F34" i="5" s="1"/>
  <c r="C31" i="5"/>
  <c r="C32" i="5" s="1"/>
  <c r="C33" i="5" s="1"/>
  <c r="C34" i="5" s="1"/>
  <c r="C30" i="5"/>
  <c r="D31" i="5"/>
  <c r="D32" i="5" s="1"/>
  <c r="D33" i="5" s="1"/>
  <c r="D34" i="5" s="1"/>
  <c r="D30" i="5"/>
  <c r="E30" i="5"/>
  <c r="E31" i="5" s="1"/>
  <c r="E32" i="5" s="1"/>
  <c r="E33" i="5" s="1"/>
  <c r="E34" i="5" s="1"/>
  <c r="E10" i="8"/>
  <c r="D21" i="5"/>
  <c r="C21" i="5"/>
  <c r="E21" i="5"/>
  <c r="G9" i="8"/>
  <c r="I15" i="6"/>
  <c r="I14" i="6"/>
  <c r="H10" i="8"/>
  <c r="I10" i="8"/>
  <c r="I12" i="8"/>
  <c r="H12" i="8"/>
  <c r="M23" i="5"/>
  <c r="D11" i="8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B8" i="5"/>
  <c r="N3" i="5"/>
  <c r="N4" i="5"/>
  <c r="D3" i="7"/>
  <c r="D7" i="7" s="1"/>
  <c r="E3" i="7"/>
  <c r="F5" i="7"/>
  <c r="C6" i="7"/>
  <c r="F6" i="7"/>
  <c r="E7" i="7"/>
  <c r="C8" i="7"/>
  <c r="C9" i="7" s="1"/>
  <c r="C10" i="7" s="1"/>
  <c r="C11" i="7" s="1"/>
  <c r="C12" i="7" s="1"/>
  <c r="C13" i="7" s="1"/>
  <c r="C14" i="7" s="1"/>
  <c r="C15" i="7" s="1"/>
  <c r="C16" i="7" s="1"/>
  <c r="C17" i="7" s="1"/>
  <c r="E8" i="7"/>
  <c r="E9" i="7" s="1"/>
  <c r="E10" i="7" s="1"/>
  <c r="E11" i="7" s="1"/>
  <c r="E12" i="7" s="1"/>
  <c r="E13" i="7" s="1"/>
  <c r="E14" i="7" s="1"/>
  <c r="E15" i="7" s="1"/>
  <c r="E16" i="7" s="1"/>
  <c r="E17" i="7" s="1"/>
  <c r="N17" i="5"/>
  <c r="N9" i="5"/>
  <c r="D6" i="5"/>
  <c r="D5" i="5" s="1"/>
  <c r="D4" i="5" s="1"/>
  <c r="F7" i="5"/>
  <c r="F4" i="5"/>
  <c r="F5" i="5"/>
  <c r="B21" i="5"/>
  <c r="B23" i="5" s="1"/>
  <c r="B25" i="5"/>
  <c r="E5" i="5"/>
  <c r="F6" i="5"/>
  <c r="E6" i="5"/>
  <c r="E4" i="5"/>
  <c r="G19" i="5" l="1"/>
  <c r="R3" i="5"/>
  <c r="P5" i="5"/>
  <c r="E11" i="8"/>
  <c r="E12" i="8" s="1"/>
  <c r="E13" i="8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F7" i="7"/>
  <c r="D8" i="7"/>
  <c r="N23" i="5"/>
  <c r="P23" i="5" s="1"/>
  <c r="R2" i="5" s="1"/>
  <c r="R4" i="5"/>
  <c r="C27" i="8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6" i="5"/>
  <c r="G6" i="6"/>
  <c r="G7" i="5"/>
  <c r="F8" i="7" l="1"/>
  <c r="D9" i="7"/>
  <c r="R17" i="5"/>
  <c r="R5" i="5"/>
  <c r="G8" i="5"/>
  <c r="G21" i="5" s="1"/>
  <c r="C5" i="5"/>
  <c r="G6" i="5"/>
  <c r="B10" i="5"/>
  <c r="B11" i="5" s="1"/>
  <c r="B12" i="5" s="1"/>
  <c r="B13" i="5" s="1"/>
  <c r="B14" i="5" s="1"/>
  <c r="B15" i="5" s="1"/>
  <c r="B16" i="5" s="1"/>
  <c r="B17" i="5" s="1"/>
  <c r="B18" i="5" s="1"/>
  <c r="B19" i="5" s="1"/>
  <c r="F9" i="7" l="1"/>
  <c r="D10" i="7"/>
  <c r="I8" i="5"/>
  <c r="I7" i="5"/>
  <c r="R18" i="5"/>
  <c r="S18" i="5"/>
  <c r="S3" i="5"/>
  <c r="S4" i="5"/>
  <c r="S2" i="5"/>
  <c r="C4" i="5"/>
  <c r="G4" i="5" s="1"/>
  <c r="G5" i="5"/>
  <c r="H8" i="5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F10" i="7" l="1"/>
  <c r="D11" i="7"/>
  <c r="J8" i="5"/>
  <c r="I5" i="5"/>
  <c r="I6" i="5"/>
  <c r="S5" i="5"/>
  <c r="F11" i="7" l="1"/>
  <c r="D12" i="7"/>
  <c r="F12" i="7" l="1"/>
  <c r="D13" i="7"/>
  <c r="F13" i="7" l="1"/>
  <c r="D14" i="7"/>
  <c r="F14" i="7" l="1"/>
  <c r="D15" i="7"/>
  <c r="F15" i="7" l="1"/>
  <c r="D16" i="7"/>
  <c r="F16" i="7" l="1"/>
  <c r="D17" i="7"/>
  <c r="F17" i="7" s="1"/>
  <c r="G9" i="5" l="1"/>
  <c r="G3" i="6"/>
  <c r="J14" i="6" s="1"/>
  <c r="I9" i="5" l="1"/>
  <c r="J9" i="5"/>
  <c r="G7" i="6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10" i="5"/>
  <c r="I10" i="5" l="1"/>
  <c r="J10" i="5"/>
  <c r="G11" i="5"/>
  <c r="I11" i="5" l="1"/>
  <c r="J11" i="5"/>
  <c r="G12" i="5"/>
  <c r="I12" i="5" l="1"/>
  <c r="J12" i="5"/>
  <c r="G13" i="5"/>
  <c r="I13" i="5" l="1"/>
  <c r="J13" i="5"/>
  <c r="G14" i="5"/>
  <c r="I14" i="5" l="1"/>
  <c r="J14" i="5"/>
  <c r="G15" i="5"/>
  <c r="I15" i="5" l="1"/>
  <c r="J15" i="5"/>
  <c r="G16" i="5"/>
  <c r="I16" i="5" l="1"/>
  <c r="J16" i="5"/>
  <c r="G17" i="5"/>
  <c r="I17" i="5" l="1"/>
  <c r="J17" i="5"/>
  <c r="G18" i="5"/>
  <c r="I18" i="5" l="1"/>
  <c r="J18" i="5"/>
  <c r="I19" i="5"/>
  <c r="J19" i="5"/>
  <c r="J17" i="6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<sst xmlns="http://schemas.openxmlformats.org/spreadsheetml/2006/main" count="60" uniqueCount="48">
  <si>
    <t>FFB Zins</t>
  </si>
  <si>
    <t>Alter</t>
  </si>
  <si>
    <t>Datum</t>
  </si>
  <si>
    <t>Dietzgen 5</t>
  </si>
  <si>
    <t>Auersberg 33</t>
  </si>
  <si>
    <t>SL</t>
  </si>
  <si>
    <t>FFB</t>
  </si>
  <si>
    <t>Summe</t>
  </si>
  <si>
    <t>GK - Zins</t>
  </si>
  <si>
    <t>p.A.</t>
  </si>
  <si>
    <t>acc.</t>
  </si>
  <si>
    <t>DoM</t>
  </si>
  <si>
    <t>Einnahmen</t>
  </si>
  <si>
    <t>Ausgaben</t>
  </si>
  <si>
    <t>Herkunft</t>
  </si>
  <si>
    <t>Leben</t>
  </si>
  <si>
    <t>04157 Leipzig</t>
  </si>
  <si>
    <t>12685 Berlin</t>
  </si>
  <si>
    <t>Hausgeld</t>
  </si>
  <si>
    <t>Sparen</t>
  </si>
  <si>
    <t>Kosten</t>
  </si>
  <si>
    <t>Miete B</t>
  </si>
  <si>
    <t>Immo</t>
  </si>
  <si>
    <t>Fonds</t>
  </si>
  <si>
    <t>Strom</t>
  </si>
  <si>
    <t xml:space="preserve">Gehalt </t>
  </si>
  <si>
    <t>EoM</t>
  </si>
  <si>
    <t>Differenz</t>
  </si>
  <si>
    <t>Heute</t>
  </si>
  <si>
    <t>Geb. Tag</t>
  </si>
  <si>
    <t>in Tagen</t>
  </si>
  <si>
    <t>Rentenbeginn</t>
  </si>
  <si>
    <t>auf</t>
  </si>
  <si>
    <t>Kredit</t>
  </si>
  <si>
    <t>Fidelity</t>
  </si>
  <si>
    <t>Amundi</t>
  </si>
  <si>
    <t>Ist</t>
  </si>
  <si>
    <t>A0NGW1</t>
  </si>
  <si>
    <t>LYX018</t>
  </si>
  <si>
    <t>Amundi MSCI Semiconductors ESG Screened UCITS ETF Acc</t>
  </si>
  <si>
    <t>Fidelity Funds - Global Technology Fund Y Acc (EUR)</t>
  </si>
  <si>
    <t>A0RPV6</t>
  </si>
  <si>
    <t>Fondsportrait</t>
  </si>
  <si>
    <t>GK Zins</t>
  </si>
  <si>
    <t>pro Monat</t>
  </si>
  <si>
    <t>Start</t>
  </si>
  <si>
    <t>VodaF - Internet</t>
  </si>
  <si>
    <t>VodaF -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</si>
</sst>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07]_-;\-* #,##0.00\ [$€-407]_-;_-* &quot;-&quot;??\ [$€-407]_-;_-@_-"/>
    <numFmt numFmtId="166" formatCode="0.0000%"/>
  </numFmts>
  <fonts count="41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242424"/>
      <name val="Aptos Narrow"/>
      <charset val="1"/>
    </font>
    <font>
      <b/>
      <sz val="11"/>
      <color rgb="FFC0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8"/>
      <color theme="1"/>
      <name val="Arial"/>
    </font>
    <font>
      <sz val="11"/>
      <color theme="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  <font>
      <sz val="12"/>
      <color theme="1"/>
      <name val="Arial"/>
    </font>
    <font>
      <b/>
      <sz val="14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1"/>
      <color theme="1"/>
      <name val="Arial"/>
    </font>
    <font>
      <u/>
      <sz val="11"/>
      <color theme="10"/>
      <name val="Calibri"/>
      <family val="2"/>
      <scheme val="minor"/>
    </font>
    <font>
      <b/>
      <sz val="12"/>
      <color theme="1"/>
      <name val="Arial"/>
    </font>
    <font>
      <b/>
      <sz val="12"/>
      <color theme="6"/>
      <name val="Arial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67676"/>
      <name val="Arial"/>
      <family val="2"/>
    </font>
    <font>
      <sz val="12"/>
      <color theme="1"/>
      <name val="Arial Nova"/>
      <family val="2"/>
    </font>
    <font>
      <u/>
      <sz val="12"/>
      <color theme="10"/>
      <name val="Arial Nova"/>
      <family val="2"/>
    </font>
    <font>
      <b/>
      <sz val="12"/>
      <color theme="1"/>
      <name val="Arial Nova"/>
      <family val="2"/>
    </font>
    <font>
      <b/>
      <sz val="12"/>
      <color theme="6"/>
      <name val="Arial Nova"/>
      <family val="2"/>
    </font>
    <font>
      <sz val="12"/>
      <color rgb="FF000000"/>
      <name val="Arial Nova"/>
      <family val="2"/>
    </font>
    <font>
      <b/>
      <sz val="12"/>
      <color rgb="FFC00000"/>
      <name val="Arial Nov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2"/>
      <color theme="1"/>
      <name val="Arial"/>
      <family val="2"/>
    </font>
    <font>
      <sz val="12"/>
      <color rgb="FFC00000"/>
      <name val="Arial"/>
      <family val="2"/>
    </font>
    <font>
      <sz val="12"/>
      <color rgb="FFC00000"/>
      <name val="Arial"/>
    </font>
    <font>
      <sz val="9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E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21" fillId="0" borderId="0" applyNumberFormat="0" applyFill="0" applyBorder="0" applyAlignment="0" applyProtection="0"/>
    <xf numFmtId="9" fontId="33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44" fontId="5" fillId="4" borderId="0" xfId="1" applyNumberFormat="1" applyFont="1" applyFill="1" applyBorder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4" fontId="5" fillId="5" borderId="0" xfId="1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4" fillId="0" borderId="0" xfId="0" applyNumberFormat="1" applyFont="1" applyAlignment="1">
      <alignment horizontal="center"/>
    </xf>
    <xf numFmtId="0" fontId="0" fillId="6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17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1" fontId="4" fillId="6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6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6" borderId="0" xfId="0" applyFill="1"/>
    <xf numFmtId="164" fontId="0" fillId="6" borderId="0" xfId="0" applyNumberFormat="1" applyFill="1"/>
    <xf numFmtId="14" fontId="4" fillId="0" borderId="0" xfId="0" applyNumberFormat="1" applyFont="1" applyAlignment="1">
      <alignment horizontal="center"/>
    </xf>
    <xf numFmtId="8" fontId="0" fillId="0" borderId="0" xfId="0" applyNumberFormat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9" fillId="7" borderId="0" xfId="0" applyNumberFormat="1" applyFont="1" applyFill="1" applyAlignment="1">
      <alignment horizontal="right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4" fontId="0" fillId="6" borderId="0" xfId="0" applyNumberFormat="1" applyFill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164" fontId="0" fillId="8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4" fillId="0" borderId="0" xfId="0" applyNumberFormat="1" applyFont="1" applyAlignment="1">
      <alignment horizontal="center"/>
    </xf>
    <xf numFmtId="44" fontId="10" fillId="6" borderId="0" xfId="1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 vertical="center"/>
    </xf>
    <xf numFmtId="164" fontId="12" fillId="9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3" fillId="8" borderId="0" xfId="0" applyNumberFormat="1" applyFont="1" applyFill="1" applyAlignment="1">
      <alignment horizontal="center"/>
    </xf>
    <xf numFmtId="10" fontId="0" fillId="6" borderId="0" xfId="0" applyNumberFormat="1" applyFill="1" applyAlignment="1">
      <alignment horizontal="center"/>
    </xf>
    <xf numFmtId="0" fontId="17" fillId="0" borderId="0" xfId="0" applyFont="1"/>
    <xf numFmtId="10" fontId="9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1" fontId="0" fillId="0" borderId="0" xfId="0" applyNumberFormat="1" applyAlignment="1">
      <alignment horizontal="center"/>
    </xf>
    <xf numFmtId="164" fontId="23" fillId="0" borderId="0" xfId="0" applyNumberFormat="1" applyFont="1"/>
    <xf numFmtId="164" fontId="22" fillId="0" borderId="0" xfId="0" applyNumberFormat="1" applyFont="1"/>
    <xf numFmtId="164" fontId="17" fillId="0" borderId="0" xfId="0" applyNumberFormat="1" applyFont="1"/>
    <xf numFmtId="14" fontId="24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164" fontId="24" fillId="0" borderId="0" xfId="0" applyNumberFormat="1" applyFont="1"/>
    <xf numFmtId="0" fontId="24" fillId="0" borderId="0" xfId="0" applyFont="1" applyAlignment="1">
      <alignment horizontal="center"/>
    </xf>
    <xf numFmtId="0" fontId="24" fillId="0" borderId="0" xfId="0" applyFont="1"/>
    <xf numFmtId="164" fontId="25" fillId="0" borderId="0" xfId="0" applyNumberFormat="1" applyFont="1" applyAlignment="1">
      <alignment horizontal="center"/>
    </xf>
    <xf numFmtId="1" fontId="24" fillId="0" borderId="0" xfId="0" applyNumberFormat="1" applyFont="1" applyAlignment="1">
      <alignment horizontal="center"/>
    </xf>
    <xf numFmtId="0" fontId="26" fillId="0" borderId="0" xfId="0" applyFont="1"/>
    <xf numFmtId="0" fontId="27" fillId="0" borderId="0" xfId="0" applyFont="1"/>
    <xf numFmtId="10" fontId="27" fillId="0" borderId="0" xfId="0" applyNumberFormat="1" applyFont="1" applyAlignment="1">
      <alignment horizontal="center"/>
    </xf>
    <xf numFmtId="0" fontId="28" fillId="0" borderId="0" xfId="3" applyFont="1"/>
    <xf numFmtId="0" fontId="29" fillId="0" borderId="0" xfId="0" applyFont="1"/>
    <xf numFmtId="164" fontId="30" fillId="0" borderId="0" xfId="0" applyNumberFormat="1" applyFont="1"/>
    <xf numFmtId="164" fontId="29" fillId="0" borderId="0" xfId="0" applyNumberFormat="1" applyFont="1"/>
    <xf numFmtId="0" fontId="31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164" fontId="29" fillId="0" borderId="0" xfId="0" applyNumberFormat="1" applyFont="1" applyAlignment="1">
      <alignment horizontal="left"/>
    </xf>
    <xf numFmtId="10" fontId="32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10" fontId="0" fillId="0" borderId="0" xfId="4" applyNumberFormat="1" applyFont="1" applyAlignment="1">
      <alignment horizontal="center"/>
    </xf>
    <xf numFmtId="44" fontId="5" fillId="6" borderId="0" xfId="1" applyNumberFormat="1" applyFont="1" applyFill="1" applyAlignment="1">
      <alignment horizontal="center"/>
    </xf>
    <xf numFmtId="10" fontId="0" fillId="0" borderId="0" xfId="4" applyNumberFormat="1" applyFont="1"/>
    <xf numFmtId="0" fontId="0" fillId="10" borderId="0" xfId="0" applyFill="1"/>
    <xf numFmtId="0" fontId="4" fillId="10" borderId="0" xfId="0" applyFont="1" applyFill="1" applyAlignment="1">
      <alignment horizontal="center"/>
    </xf>
    <xf numFmtId="10" fontId="0" fillId="10" borderId="0" xfId="4" applyNumberFormat="1" applyFont="1" applyFill="1"/>
    <xf numFmtId="10" fontId="4" fillId="10" borderId="0" xfId="0" applyNumberFormat="1" applyFont="1" applyFill="1" applyAlignment="1">
      <alignment horizontal="center"/>
    </xf>
    <xf numFmtId="164" fontId="34" fillId="0" borderId="0" xfId="0" applyNumberFormat="1" applyFont="1" applyAlignment="1">
      <alignment horizontal="center"/>
    </xf>
    <xf numFmtId="164" fontId="34" fillId="0" borderId="0" xfId="0" applyNumberFormat="1" applyFont="1"/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44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/>
    </xf>
    <xf numFmtId="14" fontId="35" fillId="0" borderId="0" xfId="0" applyNumberFormat="1" applyFont="1" applyAlignment="1">
      <alignment horizontal="center"/>
    </xf>
    <xf numFmtId="0" fontId="35" fillId="0" borderId="2" xfId="0" applyFont="1" applyBorder="1" applyAlignment="1">
      <alignment horizontal="center"/>
    </xf>
    <xf numFmtId="14" fontId="35" fillId="0" borderId="2" xfId="0" applyNumberFormat="1" applyFont="1" applyBorder="1" applyAlignment="1">
      <alignment horizontal="center"/>
    </xf>
    <xf numFmtId="44" fontId="35" fillId="0" borderId="0" xfId="1" applyNumberFormat="1" applyFont="1" applyFill="1" applyBorder="1" applyAlignment="1">
      <alignment horizontal="center" vertical="center"/>
    </xf>
    <xf numFmtId="44" fontId="35" fillId="0" borderId="0" xfId="2" applyNumberFormat="1" applyFont="1" applyFill="1" applyBorder="1" applyAlignment="1">
      <alignment horizontal="center" vertical="center"/>
    </xf>
    <xf numFmtId="44" fontId="35" fillId="0" borderId="2" xfId="1" applyNumberFormat="1" applyFont="1" applyFill="1" applyBorder="1" applyAlignment="1">
      <alignment horizontal="center"/>
    </xf>
    <xf numFmtId="44" fontId="35" fillId="0" borderId="2" xfId="1" applyNumberFormat="1" applyFont="1" applyFill="1" applyBorder="1" applyAlignment="1">
      <alignment horizontal="center" vertical="center"/>
    </xf>
    <xf numFmtId="44" fontId="35" fillId="0" borderId="2" xfId="1" applyNumberFormat="1" applyFont="1" applyFill="1" applyBorder="1" applyAlignment="1">
      <alignment vertical="center"/>
    </xf>
    <xf numFmtId="44" fontId="35" fillId="0" borderId="2" xfId="2" applyNumberFormat="1" applyFont="1" applyFill="1" applyBorder="1" applyAlignment="1">
      <alignment horizontal="center" vertical="center"/>
    </xf>
    <xf numFmtId="14" fontId="36" fillId="0" borderId="0" xfId="0" applyNumberFormat="1" applyFont="1" applyAlignment="1">
      <alignment horizontal="center"/>
    </xf>
    <xf numFmtId="164" fontId="36" fillId="0" borderId="0" xfId="0" applyNumberFormat="1" applyFont="1" applyAlignment="1">
      <alignment horizontal="right"/>
    </xf>
    <xf numFmtId="164" fontId="36" fillId="0" borderId="0" xfId="0" applyNumberFormat="1" applyFont="1"/>
    <xf numFmtId="44" fontId="25" fillId="6" borderId="0" xfId="1" applyNumberFormat="1" applyFont="1" applyFill="1" applyBorder="1" applyAlignment="1">
      <alignment horizontal="center"/>
    </xf>
    <xf numFmtId="166" fontId="0" fillId="0" borderId="0" xfId="0" applyNumberFormat="1"/>
    <xf numFmtId="0" fontId="40" fillId="0" borderId="0" xfId="0" applyFont="1"/>
    <xf numFmtId="0" fontId="21" fillId="0" borderId="0" xfId="3"/>
    <xf numFmtId="166" fontId="0" fillId="0" borderId="0" xfId="4" applyNumberFormat="1" applyFont="1" applyAlignment="1">
      <alignment horizontal="center" vertical="center"/>
    </xf>
    <xf numFmtId="0" fontId="37" fillId="0" borderId="0" xfId="0" applyFont="1"/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164" fontId="0" fillId="9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6" borderId="0" xfId="0" applyNumberFormat="1" applyFill="1" applyAlignment="1">
      <alignment vertical="center"/>
    </xf>
    <xf numFmtId="10" fontId="0" fillId="6" borderId="0" xfId="0" applyNumberFormat="1" applyFill="1" applyAlignment="1">
      <alignment horizontal="center" vertical="center"/>
    </xf>
    <xf numFmtId="6" fontId="0" fillId="0" borderId="0" xfId="0" applyNumberFormat="1" applyAlignment="1">
      <alignment horizontal="center"/>
    </xf>
  </cellXfs>
  <cellStyles count="5">
    <cellStyle name="Eingabe" xfId="2" builtinId="20"/>
    <cellStyle name="Link" xfId="3" builtinId="8"/>
    <cellStyle name="Neutral" xfId="1" builtinId="28"/>
    <cellStyle name="Prozent" xfId="4" builtinId="5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23/09/relationships/Python" Target="pyth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31F-41DB-9171-1E412F6EED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31F-41DB-9171-1E412F6EED27}"/>
              </c:ext>
            </c:extLst>
          </c:dPt>
          <c:cat>
            <c:strRef>
              <c:f>Overview!$R$15:$S$15</c:f>
              <c:strCache>
                <c:ptCount val="2"/>
                <c:pt idx="0">
                  <c:v>Immo</c:v>
                </c:pt>
                <c:pt idx="1">
                  <c:v>Fonds</c:v>
                </c:pt>
              </c:strCache>
            </c:strRef>
          </c:cat>
          <c:val>
            <c:numRef>
              <c:f>Overview!$R$17:$S$17</c:f>
              <c:numCache>
                <c:formatCode>#,##0.00\ "€"</c:formatCode>
                <c:ptCount val="2"/>
                <c:pt idx="0" formatCode="_(&quot;€&quot;* #,##0.00_);_(&quot;€&quot;* \(#,##0.00\);_(&quot;€&quot;* &quot;-&quot;??_);_(@_)">
                  <c:v>231000</c:v>
                </c:pt>
                <c:pt idx="1">
                  <c:v>209800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B-4FF3-AADF-F07B2A77E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801903060186295E-3"/>
          <c:y val="2.511935957255248E-3"/>
          <c:w val="0.9950198868567568"/>
          <c:h val="0.8241443379165962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E20-4B97-9235-DD4B5F2E2A35}"/>
              </c:ext>
            </c:extLst>
          </c:dPt>
          <c:dPt>
            <c:idx val="1"/>
            <c:bubble3D val="0"/>
            <c:explosion val="34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E20-4B97-9235-DD4B5F2E2A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E20-4B97-9235-DD4B5F2E2A35}"/>
              </c:ext>
            </c:extLst>
          </c:dPt>
          <c:cat>
            <c:strRef>
              <c:f>Overview!$Q$2:$Q$4</c:f>
              <c:strCache>
                <c:ptCount val="3"/>
                <c:pt idx="0">
                  <c:v>Leben</c:v>
                </c:pt>
                <c:pt idx="1">
                  <c:v>Sparen</c:v>
                </c:pt>
                <c:pt idx="2">
                  <c:v>Kosten</c:v>
                </c:pt>
              </c:strCache>
            </c:strRef>
          </c:cat>
          <c:val>
            <c:numRef>
              <c:f>Overview!$R$2:$R$4</c:f>
              <c:numCache>
                <c:formatCode>#,##0.00\ "€"</c:formatCode>
                <c:ptCount val="3"/>
                <c:pt idx="0">
                  <c:v>592</c:v>
                </c:pt>
                <c:pt idx="1">
                  <c:v>1030</c:v>
                </c:pt>
                <c:pt idx="2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5-4007-BAA1-696CCA909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DAF-44C0-894F-15348C979A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DAF-44C0-894F-15348C979A57}"/>
              </c:ext>
            </c:extLst>
          </c:dPt>
          <c:val>
            <c:numRef>
              <c:f>'Kredite &amp; Benchmarks'!$H$11:$I$11</c:f>
              <c:numCache>
                <c:formatCode>#,##0.00\ "€"</c:formatCode>
                <c:ptCount val="2"/>
                <c:pt idx="0">
                  <c:v>209000</c:v>
                </c:pt>
                <c:pt idx="1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1-433E-A754-9368409D3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50"/>
      <c:depthPercent val="100"/>
      <c:rAngAx val="0"/>
      <c:perspective val="6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41455055376426"/>
          <c:y val="5.099418007531667E-2"/>
          <c:w val="0.899601921301173"/>
          <c:h val="0.85293656920276884"/>
        </c:manualLayout>
      </c:layout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Overview!$B$8:$B$19</c:f>
              <c:numCache>
                <c:formatCode>m/d/yyyy</c:formatCode>
                <c:ptCount val="12"/>
                <c:pt idx="0">
                  <c:v>45808</c:v>
                </c:pt>
                <c:pt idx="1">
                  <c:v>46316</c:v>
                </c:pt>
                <c:pt idx="2">
                  <c:v>46681</c:v>
                </c:pt>
                <c:pt idx="3">
                  <c:v>47046</c:v>
                </c:pt>
                <c:pt idx="4">
                  <c:v>47411</c:v>
                </c:pt>
                <c:pt idx="5">
                  <c:v>47776</c:v>
                </c:pt>
                <c:pt idx="6">
                  <c:v>48141</c:v>
                </c:pt>
                <c:pt idx="7">
                  <c:v>48506</c:v>
                </c:pt>
                <c:pt idx="8">
                  <c:v>48871</c:v>
                </c:pt>
                <c:pt idx="9">
                  <c:v>49236</c:v>
                </c:pt>
                <c:pt idx="10">
                  <c:v>49601</c:v>
                </c:pt>
                <c:pt idx="11">
                  <c:v>49966</c:v>
                </c:pt>
              </c:numCache>
            </c:numRef>
          </c:cat>
          <c:val>
            <c:numRef>
              <c:f>Overview!$C$8:$C$19</c:f>
              <c:numCache>
                <c:formatCode>_("€"* #,##0.00_);_("€"* \(#,##0.00\);_("€"* "-"??_);_(@_)</c:formatCode>
                <c:ptCount val="12"/>
                <c:pt idx="0">
                  <c:v>131000</c:v>
                </c:pt>
                <c:pt idx="1">
                  <c:v>132013.55094057703</c:v>
                </c:pt>
                <c:pt idx="2">
                  <c:v>133034.94375526966</c:v>
                </c:pt>
                <c:pt idx="3">
                  <c:v>134064.23911689382</c:v>
                </c:pt>
                <c:pt idx="4">
                  <c:v>135101.49816769283</c:v>
                </c:pt>
                <c:pt idx="5">
                  <c:v>136146.78252296941</c:v>
                </c:pt>
                <c:pt idx="6">
                  <c:v>137200.1542747457</c:v>
                </c:pt>
                <c:pt idx="7">
                  <c:v>138261.67599545166</c:v>
                </c:pt>
                <c:pt idx="8">
                  <c:v>139331.41074164209</c:v>
                </c:pt>
                <c:pt idx="9">
                  <c:v>140409.42205774219</c:v>
                </c:pt>
                <c:pt idx="10">
                  <c:v>141495.77397982235</c:v>
                </c:pt>
                <c:pt idx="11">
                  <c:v>142590.53103940192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0-4722-AE7E-EC444C3AD2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Overview!$B$8:$B$19</c:f>
              <c:numCache>
                <c:formatCode>m/d/yyyy</c:formatCode>
                <c:ptCount val="12"/>
                <c:pt idx="0">
                  <c:v>45808</c:v>
                </c:pt>
                <c:pt idx="1">
                  <c:v>46316</c:v>
                </c:pt>
                <c:pt idx="2">
                  <c:v>46681</c:v>
                </c:pt>
                <c:pt idx="3">
                  <c:v>47046</c:v>
                </c:pt>
                <c:pt idx="4">
                  <c:v>47411</c:v>
                </c:pt>
                <c:pt idx="5">
                  <c:v>47776</c:v>
                </c:pt>
                <c:pt idx="6">
                  <c:v>48141</c:v>
                </c:pt>
                <c:pt idx="7">
                  <c:v>48506</c:v>
                </c:pt>
                <c:pt idx="8">
                  <c:v>48871</c:v>
                </c:pt>
                <c:pt idx="9">
                  <c:v>49236</c:v>
                </c:pt>
                <c:pt idx="10">
                  <c:v>49601</c:v>
                </c:pt>
                <c:pt idx="11">
                  <c:v>49966</c:v>
                </c:pt>
              </c:numCache>
            </c:numRef>
          </c:cat>
          <c:val>
            <c:numRef>
              <c:f>Overview!$D$8:$D$19</c:f>
              <c:numCache>
                <c:formatCode>_("€"* #,##0.00_);_("€"* \(#,##0.00\);_("€"* "-"??_);_(@_)</c:formatCode>
                <c:ptCount val="12"/>
                <c:pt idx="0">
                  <c:v>100000</c:v>
                </c:pt>
                <c:pt idx="1">
                  <c:v>103166.80404253515</c:v>
                </c:pt>
                <c:pt idx="2">
                  <c:v>106433.89456350847</c:v>
                </c:pt>
                <c:pt idx="3">
                  <c:v>109804.44743917325</c:v>
                </c:pt>
                <c:pt idx="4">
                  <c:v>113281.73911956039</c:v>
                </c:pt>
                <c:pt idx="5">
                  <c:v>116869.14981345275</c:v>
                </c:pt>
                <c:pt idx="6">
                  <c:v>120570.16677422164</c:v>
                </c:pt>
                <c:pt idx="7">
                  <c:v>124388.38768971906</c:v>
                </c:pt>
                <c:pt idx="8">
                  <c:v>128327.52417952138</c:v>
                </c:pt>
                <c:pt idx="9">
                  <c:v>132391.40540292373</c:v>
                </c:pt>
                <c:pt idx="10">
                  <c:v>136583.98178119262</c:v>
                </c:pt>
                <c:pt idx="11">
                  <c:v>140909.32883769489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0-4722-AE7E-EC444C3AD28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Overview!$B$8:$B$19</c:f>
              <c:numCache>
                <c:formatCode>m/d/yyyy</c:formatCode>
                <c:ptCount val="12"/>
                <c:pt idx="0">
                  <c:v>45808</c:v>
                </c:pt>
                <c:pt idx="1">
                  <c:v>46316</c:v>
                </c:pt>
                <c:pt idx="2">
                  <c:v>46681</c:v>
                </c:pt>
                <c:pt idx="3">
                  <c:v>47046</c:v>
                </c:pt>
                <c:pt idx="4">
                  <c:v>47411</c:v>
                </c:pt>
                <c:pt idx="5">
                  <c:v>47776</c:v>
                </c:pt>
                <c:pt idx="6">
                  <c:v>48141</c:v>
                </c:pt>
                <c:pt idx="7">
                  <c:v>48506</c:v>
                </c:pt>
                <c:pt idx="8">
                  <c:v>48871</c:v>
                </c:pt>
                <c:pt idx="9">
                  <c:v>49236</c:v>
                </c:pt>
                <c:pt idx="10">
                  <c:v>49601</c:v>
                </c:pt>
                <c:pt idx="11">
                  <c:v>49966</c:v>
                </c:pt>
              </c:numCache>
            </c:numRef>
          </c:cat>
          <c:val>
            <c:numRef>
              <c:f>Overview!$E$8:$E$19</c:f>
              <c:numCache>
                <c:formatCode>_("€"* #,##0.00_);_("€"* \(#,##0.00\);_("€"* "-"??_);_(@_)</c:formatCode>
                <c:ptCount val="12"/>
                <c:pt idx="0">
                  <c:v>118100</c:v>
                </c:pt>
                <c:pt idx="1">
                  <c:v>126524.15297276567</c:v>
                </c:pt>
                <c:pt idx="2">
                  <c:v>135266.73700003096</c:v>
                </c:pt>
                <c:pt idx="3">
                  <c:v>144339.78870278288</c:v>
                </c:pt>
                <c:pt idx="4">
                  <c:v>153755.79968352715</c:v>
                </c:pt>
                <c:pt idx="5">
                  <c:v>163527.7337244855</c:v>
                </c:pt>
                <c:pt idx="6">
                  <c:v>173669.04463588088</c:v>
                </c:pt>
                <c:pt idx="7">
                  <c:v>184193.69477888377</c:v>
                </c:pt>
                <c:pt idx="8">
                  <c:v>195116.17428872161</c:v>
                </c:pt>
                <c:pt idx="9">
                  <c:v>206451.52102441731</c:v>
                </c:pt>
                <c:pt idx="10">
                  <c:v>218215.34127262345</c:v>
                </c:pt>
                <c:pt idx="11">
                  <c:v>230423.83123405662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0-4722-AE7E-EC444C3AD28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Overview!$B$8:$B$19</c:f>
              <c:numCache>
                <c:formatCode>m/d/yyyy</c:formatCode>
                <c:ptCount val="12"/>
                <c:pt idx="0">
                  <c:v>45808</c:v>
                </c:pt>
                <c:pt idx="1">
                  <c:v>46316</c:v>
                </c:pt>
                <c:pt idx="2">
                  <c:v>46681</c:v>
                </c:pt>
                <c:pt idx="3">
                  <c:v>47046</c:v>
                </c:pt>
                <c:pt idx="4">
                  <c:v>47411</c:v>
                </c:pt>
                <c:pt idx="5">
                  <c:v>47776</c:v>
                </c:pt>
                <c:pt idx="6">
                  <c:v>48141</c:v>
                </c:pt>
                <c:pt idx="7">
                  <c:v>48506</c:v>
                </c:pt>
                <c:pt idx="8">
                  <c:v>48871</c:v>
                </c:pt>
                <c:pt idx="9">
                  <c:v>49236</c:v>
                </c:pt>
                <c:pt idx="10">
                  <c:v>49601</c:v>
                </c:pt>
                <c:pt idx="11">
                  <c:v>49966</c:v>
                </c:pt>
              </c:numCache>
            </c:numRef>
          </c:cat>
          <c:val>
            <c:numRef>
              <c:f>Overview!$F$8:$F$19</c:f>
              <c:numCache>
                <c:formatCode>_("€"* #,##0.00_);_("€"* \(#,##0.00\);_("€"* "-"??_);_(@_)</c:formatCode>
                <c:ptCount val="12"/>
                <c:pt idx="0">
                  <c:v>91700</c:v>
                </c:pt>
                <c:pt idx="1">
                  <c:v>98984.887513128881</c:v>
                </c:pt>
                <c:pt idx="2">
                  <c:v>106848.50551784926</c:v>
                </c:pt>
                <c:pt idx="3">
                  <c:v>115336.82987601132</c:v>
                </c:pt>
                <c:pt idx="4">
                  <c:v>124499.48889201594</c:v>
                </c:pt>
                <c:pt idx="5">
                  <c:v>134390.05347239081</c:v>
                </c:pt>
                <c:pt idx="6">
                  <c:v>145066.35033640108</c:v>
                </c:pt>
                <c:pt idx="7">
                  <c:v>156590.80010892919</c:v>
                </c:pt>
                <c:pt idx="8">
                  <c:v>169030.78227233593</c:v>
                </c:pt>
                <c:pt idx="9">
                  <c:v>182459.02911105071</c:v>
                </c:pt>
                <c:pt idx="10">
                  <c:v>196954.05095214897</c:v>
                </c:pt>
                <c:pt idx="11">
                  <c:v>212600.59518815178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0-4722-AE7E-EC444C3AD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76000"/>
        <c:axId val="1046168320"/>
        <c:axId val="1383336640"/>
      </c:area3DChart>
      <c:dateAx>
        <c:axId val="1046176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6168320"/>
        <c:crosses val="autoZero"/>
        <c:auto val="1"/>
        <c:lblOffset val="100"/>
        <c:baseTimeUnit val="years"/>
      </c:dateAx>
      <c:valAx>
        <c:axId val="10461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6176000"/>
        <c:crosses val="autoZero"/>
        <c:crossBetween val="midCat"/>
      </c:valAx>
      <c:serAx>
        <c:axId val="1383336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6168320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Diagramm!$K$5:$K$9</c:f>
              <c:numCache>
                <c:formatCode>_("€"* #,##0.00_);_("€"* \(#,##0.00\);_("€"* "-"??_);_(@_)</c:formatCode>
                <c:ptCount val="5"/>
                <c:pt idx="0">
                  <c:v>101000</c:v>
                </c:pt>
                <c:pt idx="1">
                  <c:v>89345</c:v>
                </c:pt>
                <c:pt idx="2">
                  <c:v>105000</c:v>
                </c:pt>
                <c:pt idx="3">
                  <c:v>118100</c:v>
                </c:pt>
                <c:pt idx="4">
                  <c:v>118100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7-4082-9D98-AE7029A332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Diagramm!$L$5:$L$9</c:f>
              <c:numCache>
                <c:formatCode>_("€"* #,##0.00_);_("€"* \(#,##0.00\);_("€"* "-"??_);_(@_)</c:formatCode>
                <c:ptCount val="5"/>
                <c:pt idx="0">
                  <c:v>101000</c:v>
                </c:pt>
                <c:pt idx="1">
                  <c:v>104817.77688610782</c:v>
                </c:pt>
                <c:pt idx="2">
                  <c:v>108779.86486481068</c:v>
                </c:pt>
                <c:pt idx="3">
                  <c:v>112891.71886238302</c:v>
                </c:pt>
                <c:pt idx="4">
                  <c:v>117159.00000006409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7-4082-9D98-AE7029A33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739696"/>
        <c:axId val="1990721936"/>
      </c:lineChart>
      <c:catAx>
        <c:axId val="199073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721936"/>
        <c:crosses val="autoZero"/>
        <c:auto val="1"/>
        <c:lblAlgn val="ctr"/>
        <c:lblOffset val="100"/>
        <c:noMultiLvlLbl val="0"/>
      </c:catAx>
      <c:valAx>
        <c:axId val="19907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73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19</xdr:row>
      <xdr:rowOff>109538</xdr:rowOff>
    </xdr:from>
    <xdr:to>
      <xdr:col>18</xdr:col>
      <xdr:colOff>1104900</xdr:colOff>
      <xdr:row>25</xdr:row>
      <xdr:rowOff>142875</xdr:rowOff>
    </xdr:to>
    <xdr:graphicFrame macro="">
      <xdr:nvGraphicFramePr>
        <xdr:cNvPr id="10" name="Diagramm 1">
          <a:extLst>
            <a:ext uri="{FF2B5EF4-FFF2-40B4-BE49-F238E27FC236}">
              <a16:creationId xmlns:a16="http://schemas.microsoft.com/office/drawing/2014/main" id="{CF6A4E39-005F-23EC-8F12-F5638097C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504826</xdr:colOff>
      <xdr:row>5</xdr:row>
      <xdr:rowOff>95250</xdr:rowOff>
    </xdr:from>
    <xdr:to>
      <xdr:col>18</xdr:col>
      <xdr:colOff>628650</xdr:colOff>
      <xdr:row>12</xdr:row>
      <xdr:rowOff>114300</xdr:rowOff>
    </xdr:to>
    <xdr:graphicFrame macro="">
      <xdr:nvGraphicFramePr>
        <xdr:cNvPr id="12" name="Diagramm 4">
          <a:extLst>
            <a:ext uri="{FF2B5EF4-FFF2-40B4-BE49-F238E27FC236}">
              <a16:creationId xmlns:a16="http://schemas.microsoft.com/office/drawing/2014/main" id="{845C7FB7-38D6-224E-EB87-1764564620AE}"/>
            </a:ext>
            <a:ext uri="{147F2762-F138-4A5C-976F-8EAC2B608ADB}">
              <a16:predDERef xmlns:a16="http://schemas.microsoft.com/office/drawing/2014/main" pred="{CF6A4E39-005F-23EC-8F12-F5638097C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1790700</xdr:colOff>
      <xdr:row>16</xdr:row>
      <xdr:rowOff>119062</xdr:rowOff>
    </xdr:from>
    <xdr:to>
      <xdr:col>8</xdr:col>
      <xdr:colOff>1647825</xdr:colOff>
      <xdr:row>27</xdr:row>
      <xdr:rowOff>38100</xdr:rowOff>
    </xdr:to>
    <xdr:graphicFrame macro="">
      <xdr:nvGraphicFramePr>
        <xdr:cNvPr id="9" name="Diagramm 1">
          <a:extLst>
            <a:ext uri="{FF2B5EF4-FFF2-40B4-BE49-F238E27FC236}">
              <a16:creationId xmlns:a16="http://schemas.microsoft.com/office/drawing/2014/main" id="{24B545E0-D6D6-C699-6235-99D91F20B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85725</xdr:colOff>
      <xdr:row>23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CBD3CF-BA74-40C2-8DF2-AD491F350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12</xdr:row>
      <xdr:rowOff>61912</xdr:rowOff>
    </xdr:from>
    <xdr:to>
      <xdr:col>14</xdr:col>
      <xdr:colOff>28575</xdr:colOff>
      <xdr:row>26</xdr:row>
      <xdr:rowOff>138112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03831E5-567D-5404-CC58-760A739E8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delity.de/produkte-services/fonds-verschiedener-anbieter/fondsfinder/fondsportrait/?ISIN=FR0010756114" TargetMode="External"/><Relationship Id="rId2" Type="http://schemas.openxmlformats.org/officeDocument/2006/relationships/hyperlink" Target="https://www.fidelity.de/produkte-services/fonds-verschiedener-anbieter/fondsfinder/fondsportrait/?ISIN=LU0346389348" TargetMode="External"/><Relationship Id="rId1" Type="http://schemas.openxmlformats.org/officeDocument/2006/relationships/hyperlink" Target="https://www.fidelity.de/produkte-services/fonds-verschiedener-anbieter/fondsfinder/fondsportrait/?ISIN=LU1900066033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fidelity.de/produkte-services/fonds-verschiedener-anbieter/fondsfinder/fondsportrait/?ISIN=DE000977988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1EE1-B24C-441A-A952-E467D4FAA5EA}">
  <dimension ref="A1:S48"/>
  <sheetViews>
    <sheetView tabSelected="1" workbookViewId="0">
      <pane xSplit="1" topLeftCell="B1" activePane="topRight" state="frozen"/>
      <selection pane="topRight" activeCell="I28" sqref="I28"/>
    </sheetView>
  </sheetViews>
  <sheetFormatPr baseColWidth="10" defaultColWidth="11.42578125" defaultRowHeight="15" x14ac:dyDescent="0.25"/>
  <cols>
    <col min="1" max="1" width="15.42578125" customWidth="1"/>
    <col min="2" max="2" width="16.28515625" style="1" customWidth="1"/>
    <col min="3" max="3" width="15.5703125" style="1" customWidth="1"/>
    <col min="4" max="4" width="15.42578125" style="11" customWidth="1"/>
    <col min="5" max="5" width="14.5703125" style="1" customWidth="1"/>
    <col min="6" max="6" width="13.7109375" customWidth="1"/>
    <col min="7" max="7" width="15.140625" style="1" customWidth="1"/>
    <col min="8" max="8" width="14.85546875" customWidth="1"/>
    <col min="9" max="9" width="10.28515625" style="11" customWidth="1"/>
    <col min="10" max="10" width="16.140625" customWidth="1"/>
    <col min="11" max="11" width="0.85546875" style="80" customWidth="1"/>
    <col min="12" max="12" width="12.42578125" customWidth="1"/>
    <col min="13" max="13" width="14" customWidth="1"/>
    <col min="14" max="14" width="13.5703125" customWidth="1"/>
    <col min="15" max="15" width="21.140625" style="1" customWidth="1"/>
    <col min="16" max="16" width="10.42578125" style="1" customWidth="1"/>
    <col min="17" max="17" width="8.85546875" style="1" customWidth="1"/>
    <col min="18" max="18" width="17.42578125" customWidth="1"/>
    <col min="19" max="19" width="18.28515625" style="1" customWidth="1"/>
    <col min="20" max="20" width="3.85546875" customWidth="1"/>
    <col min="21" max="21" width="7.5703125" customWidth="1"/>
    <col min="22" max="22" width="8.7109375" customWidth="1"/>
  </cols>
  <sheetData>
    <row r="1" spans="1:19" ht="27.75" customHeight="1" x14ac:dyDescent="0.25">
      <c r="A1" s="11" t="s">
        <v>0</v>
      </c>
      <c r="B1" s="40">
        <v>8.7499999999999994E-2</v>
      </c>
    </row>
    <row r="2" spans="1:19" x14ac:dyDescent="0.25">
      <c r="A2" s="32" t="s">
        <v>1</v>
      </c>
      <c r="B2" s="32" t="s">
        <v>2</v>
      </c>
      <c r="C2" s="32" t="s">
        <v>3</v>
      </c>
      <c r="D2" s="29" t="s">
        <v>4</v>
      </c>
      <c r="E2" s="32" t="s">
        <v>5</v>
      </c>
      <c r="F2" s="32" t="s">
        <v>6</v>
      </c>
      <c r="G2" s="32" t="s">
        <v>7</v>
      </c>
      <c r="H2" s="32" t="s">
        <v>8</v>
      </c>
      <c r="I2" s="29" t="s">
        <v>9</v>
      </c>
      <c r="J2" s="32" t="s">
        <v>10</v>
      </c>
      <c r="K2" s="81"/>
      <c r="L2" s="32" t="s">
        <v>11</v>
      </c>
      <c r="M2" s="32" t="s">
        <v>12</v>
      </c>
      <c r="N2" s="32" t="s">
        <v>13</v>
      </c>
      <c r="O2" s="32" t="s">
        <v>14</v>
      </c>
      <c r="P2" s="32"/>
      <c r="Q2" s="32" t="s">
        <v>15</v>
      </c>
      <c r="R2" s="25">
        <f>P23</f>
        <v>592</v>
      </c>
      <c r="S2" s="48">
        <f>R2*100%/R$5</f>
        <v>0.28920371275036638</v>
      </c>
    </row>
    <row r="3" spans="1:19" s="112" customFormat="1" ht="17.25" customHeight="1" x14ac:dyDescent="0.25">
      <c r="A3" s="111"/>
      <c r="B3" s="29"/>
      <c r="C3" s="29" t="s">
        <v>16</v>
      </c>
      <c r="D3" s="29" t="s">
        <v>17</v>
      </c>
      <c r="E3" s="29"/>
      <c r="F3" s="111"/>
      <c r="G3" s="29"/>
      <c r="H3" s="111"/>
      <c r="I3" s="11"/>
      <c r="K3" s="113"/>
      <c r="L3" s="11">
        <v>1</v>
      </c>
      <c r="N3" s="114">
        <f>285</f>
        <v>285</v>
      </c>
      <c r="O3" s="11" t="s">
        <v>18</v>
      </c>
      <c r="P3" s="115"/>
      <c r="Q3" s="29" t="s">
        <v>19</v>
      </c>
      <c r="R3" s="116">
        <f>N4+N5+N13</f>
        <v>1030</v>
      </c>
      <c r="S3" s="117">
        <f t="shared" ref="S3:S4" si="0">R3*100%/R$5</f>
        <v>0.50317537860283346</v>
      </c>
    </row>
    <row r="4" spans="1:19" x14ac:dyDescent="0.25">
      <c r="A4" s="89">
        <v>52</v>
      </c>
      <c r="B4" s="90">
        <v>44490</v>
      </c>
      <c r="C4" s="93">
        <f>C$5*(1-$C$21)</f>
        <v>127023.0177514793</v>
      </c>
      <c r="D4" s="93">
        <f>D$5*(1-$D$21)</f>
        <v>88275.480922521019</v>
      </c>
      <c r="E4" s="93">
        <f>101000</f>
        <v>101000</v>
      </c>
      <c r="F4" s="88">
        <f>63000</f>
        <v>63000</v>
      </c>
      <c r="G4" s="94">
        <f t="shared" ref="G4:G7" si="1">C4+E4+D4+F4</f>
        <v>379298.49867400032</v>
      </c>
      <c r="L4" s="1">
        <v>1</v>
      </c>
      <c r="M4" s="1"/>
      <c r="N4" s="41">
        <f>330</f>
        <v>330</v>
      </c>
      <c r="O4" s="1" t="s">
        <v>5</v>
      </c>
      <c r="P4" s="31"/>
      <c r="Q4" s="32" t="s">
        <v>20</v>
      </c>
      <c r="R4" s="25">
        <f>N3+N9+N17+N18</f>
        <v>425</v>
      </c>
      <c r="S4" s="48">
        <f t="shared" si="0"/>
        <v>0.20762090864680019</v>
      </c>
    </row>
    <row r="5" spans="1:19" x14ac:dyDescent="0.25">
      <c r="A5" s="89">
        <v>53</v>
      </c>
      <c r="B5" s="90">
        <v>44855</v>
      </c>
      <c r="C5" s="93">
        <f>C$6*(1-$C$21)</f>
        <v>128007.69230769231</v>
      </c>
      <c r="D5" s="93">
        <f>D$6*(1-$D$21)</f>
        <v>91092.783505154657</v>
      </c>
      <c r="E5" s="93">
        <f>89345</f>
        <v>89345</v>
      </c>
      <c r="F5" s="93">
        <f>47119.79</f>
        <v>47119.79</v>
      </c>
      <c r="G5" s="94">
        <f t="shared" si="1"/>
        <v>355565.26581284695</v>
      </c>
      <c r="I5" s="106">
        <f>G5/G4-1</f>
        <v>-6.2571386240976468E-2</v>
      </c>
      <c r="J5" s="79"/>
      <c r="K5" s="82"/>
      <c r="L5" s="1">
        <v>1</v>
      </c>
      <c r="M5" s="1"/>
      <c r="N5" s="41">
        <f xml:space="preserve"> 150 + 150 + 50 + 50</f>
        <v>400</v>
      </c>
      <c r="O5" s="1" t="s">
        <v>6</v>
      </c>
      <c r="P5" s="46">
        <f>SUM(N3,N4,N5)</f>
        <v>1015</v>
      </c>
      <c r="R5" s="21">
        <f>SUM(R2:R4)</f>
        <v>2047</v>
      </c>
      <c r="S5" s="6">
        <f>SUM(S2:S4)</f>
        <v>1</v>
      </c>
    </row>
    <row r="6" spans="1:19" x14ac:dyDescent="0.25">
      <c r="A6" s="89">
        <v>54</v>
      </c>
      <c r="B6" s="90">
        <v>45220</v>
      </c>
      <c r="C6" s="93">
        <f>C$7*(1-$C$21)</f>
        <v>129000</v>
      </c>
      <c r="D6" s="93">
        <f>D$7*(1-$D$21)</f>
        <v>94000.000000000015</v>
      </c>
      <c r="E6" s="93">
        <f>105000</f>
        <v>105000</v>
      </c>
      <c r="F6" s="93">
        <f>60000</f>
        <v>60000</v>
      </c>
      <c r="G6" s="94">
        <f t="shared" si="1"/>
        <v>388000</v>
      </c>
      <c r="I6" s="106">
        <f t="shared" ref="I6:I19" si="2">G6/G5-1</f>
        <v>9.1220198668745089E-2</v>
      </c>
      <c r="J6" s="79"/>
      <c r="K6" s="82"/>
      <c r="L6" s="1"/>
      <c r="M6" s="38"/>
      <c r="P6" s="31"/>
    </row>
    <row r="7" spans="1:19" x14ac:dyDescent="0.25">
      <c r="A7" s="91">
        <v>55</v>
      </c>
      <c r="B7" s="92">
        <v>45586</v>
      </c>
      <c r="C7" s="95">
        <v>130000</v>
      </c>
      <c r="D7" s="96">
        <v>97000</v>
      </c>
      <c r="E7" s="97">
        <v>118100</v>
      </c>
      <c r="F7" s="95">
        <f>91700</f>
        <v>91700</v>
      </c>
      <c r="G7" s="98">
        <f t="shared" si="1"/>
        <v>436800</v>
      </c>
      <c r="I7" s="106">
        <f t="shared" si="2"/>
        <v>0.12577319587628866</v>
      </c>
      <c r="J7" s="79"/>
      <c r="K7" s="82"/>
      <c r="L7" s="1">
        <v>6</v>
      </c>
      <c r="M7" s="36">
        <v>300</v>
      </c>
      <c r="O7" s="1" t="s">
        <v>21</v>
      </c>
      <c r="P7" s="31"/>
    </row>
    <row r="8" spans="1:19" x14ac:dyDescent="0.25">
      <c r="A8" s="18">
        <v>56</v>
      </c>
      <c r="B8" s="33">
        <f ca="1">TODAY()</f>
        <v>45808</v>
      </c>
      <c r="C8" s="102">
        <v>131000</v>
      </c>
      <c r="D8" s="102">
        <v>100000</v>
      </c>
      <c r="E8" s="102">
        <v>118100</v>
      </c>
      <c r="F8" s="102">
        <f>91700</f>
        <v>91700</v>
      </c>
      <c r="G8" s="39">
        <f>C8+D8+E8+F8</f>
        <v>440800</v>
      </c>
      <c r="H8" s="35">
        <f>G8</f>
        <v>440800</v>
      </c>
      <c r="I8" s="106">
        <f t="shared" si="2"/>
        <v>9.157509157509125E-3</v>
      </c>
      <c r="J8" s="14">
        <f>G8/G$4*100%-100%</f>
        <v>0.1621453856026438</v>
      </c>
      <c r="K8" s="83"/>
      <c r="L8" s="1"/>
      <c r="M8" s="31"/>
    </row>
    <row r="9" spans="1:19" x14ac:dyDescent="0.25">
      <c r="A9" s="1">
        <v>57</v>
      </c>
      <c r="B9" s="4">
        <v>46316</v>
      </c>
      <c r="C9" s="9">
        <f t="shared" ref="C9:C19" si="3">C8*($C$28)</f>
        <v>132013.55094057703</v>
      </c>
      <c r="D9" s="12">
        <f t="shared" ref="D9:D19" si="4">D8*($D$28)</f>
        <v>103166.80404253515</v>
      </c>
      <c r="E9" s="78">
        <f>E8*($E$28)+12*$N$4</f>
        <v>126524.15297276567</v>
      </c>
      <c r="F9" s="9">
        <f>F8*($F$28)</f>
        <v>98984.887513128881</v>
      </c>
      <c r="G9" s="39">
        <f t="shared" ref="G9:G18" si="5">C9+D9+E9+F9</f>
        <v>460689.39546900673</v>
      </c>
      <c r="H9" s="35">
        <f>H8*(1+$H$21)</f>
        <v>461285.30572217185</v>
      </c>
      <c r="I9" s="106">
        <f t="shared" si="2"/>
        <v>4.5121133096657662E-2</v>
      </c>
      <c r="J9" s="14">
        <f t="shared" ref="J9:J19" si="6">G9/G$4*100%-100%</f>
        <v>0.21458270222408737</v>
      </c>
      <c r="K9" s="83"/>
      <c r="L9" s="1">
        <v>14</v>
      </c>
      <c r="M9" s="1"/>
      <c r="N9" s="37">
        <f>50</f>
        <v>50</v>
      </c>
      <c r="O9" s="1" t="s">
        <v>46</v>
      </c>
    </row>
    <row r="10" spans="1:19" x14ac:dyDescent="0.25">
      <c r="A10" s="1">
        <v>58</v>
      </c>
      <c r="B10" s="4">
        <f t="shared" ref="B10:B19" si="7">B9+365</f>
        <v>46681</v>
      </c>
      <c r="C10" s="9">
        <f t="shared" si="3"/>
        <v>133034.94375526966</v>
      </c>
      <c r="D10" s="12">
        <f t="shared" si="4"/>
        <v>106433.89456350847</v>
      </c>
      <c r="E10" s="78">
        <f t="shared" ref="E10:E19" si="8">E9*($E$28)+12*$N$4</f>
        <v>135266.73700003096</v>
      </c>
      <c r="F10" s="9">
        <f t="shared" ref="F10:F19" si="9">F9*($F$28)</f>
        <v>106848.50551784926</v>
      </c>
      <c r="G10" s="39">
        <f t="shared" si="5"/>
        <v>481584.08083665837</v>
      </c>
      <c r="H10" s="35">
        <f t="shared" ref="H10:H19" si="10">H9*(1+$H$21)</f>
        <v>482722.62539745355</v>
      </c>
      <c r="I10" s="106">
        <f t="shared" si="2"/>
        <v>4.5355255782216775E-2</v>
      </c>
      <c r="J10" s="14">
        <f t="shared" si="6"/>
        <v>0.26967041135211689</v>
      </c>
      <c r="K10" s="83"/>
      <c r="L10" s="1"/>
      <c r="M10" s="38"/>
    </row>
    <row r="11" spans="1:19" x14ac:dyDescent="0.25">
      <c r="A11" s="1">
        <v>59</v>
      </c>
      <c r="B11" s="4">
        <f t="shared" si="7"/>
        <v>47046</v>
      </c>
      <c r="C11" s="9">
        <f t="shared" si="3"/>
        <v>134064.23911689382</v>
      </c>
      <c r="D11" s="12">
        <f t="shared" si="4"/>
        <v>109804.44743917325</v>
      </c>
      <c r="E11" s="78">
        <f t="shared" si="8"/>
        <v>144339.78870278288</v>
      </c>
      <c r="F11" s="9">
        <f t="shared" si="9"/>
        <v>115336.82987601132</v>
      </c>
      <c r="G11" s="39">
        <f t="shared" si="5"/>
        <v>503545.30513486126</v>
      </c>
      <c r="H11" s="35">
        <f t="shared" si="10"/>
        <v>505156.20198610204</v>
      </c>
      <c r="I11" s="106">
        <f t="shared" si="2"/>
        <v>4.5602056156112125E-2</v>
      </c>
      <c r="J11" s="14">
        <f t="shared" si="6"/>
        <v>0.32756999275035015</v>
      </c>
      <c r="K11" s="83"/>
      <c r="L11" s="1"/>
      <c r="M11" s="38"/>
      <c r="P11" s="31"/>
    </row>
    <row r="12" spans="1:19" x14ac:dyDescent="0.25">
      <c r="A12" s="1">
        <v>60</v>
      </c>
      <c r="B12" s="4">
        <f t="shared" si="7"/>
        <v>47411</v>
      </c>
      <c r="C12" s="9">
        <f t="shared" si="3"/>
        <v>135101.49816769283</v>
      </c>
      <c r="D12" s="12">
        <f t="shared" si="4"/>
        <v>113281.73911956039</v>
      </c>
      <c r="E12" s="78">
        <f t="shared" si="8"/>
        <v>153755.79968352715</v>
      </c>
      <c r="F12" s="9">
        <f t="shared" si="9"/>
        <v>124499.48889201594</v>
      </c>
      <c r="G12" s="39">
        <f t="shared" si="5"/>
        <v>526638.52586279623</v>
      </c>
      <c r="H12" s="35">
        <f t="shared" si="10"/>
        <v>528632.33455220109</v>
      </c>
      <c r="I12" s="106">
        <f t="shared" si="2"/>
        <v>4.5861257154905077E-2</v>
      </c>
      <c r="J12" s="14">
        <f t="shared" si="6"/>
        <v>0.3884540215790091</v>
      </c>
      <c r="K12" s="83"/>
      <c r="L12" s="1"/>
      <c r="M12" s="38"/>
      <c r="P12" s="31"/>
    </row>
    <row r="13" spans="1:19" x14ac:dyDescent="0.25">
      <c r="A13" s="1">
        <v>61</v>
      </c>
      <c r="B13" s="4">
        <f t="shared" si="7"/>
        <v>47776</v>
      </c>
      <c r="C13" s="9">
        <f t="shared" si="3"/>
        <v>136146.78252296941</v>
      </c>
      <c r="D13" s="12">
        <f t="shared" si="4"/>
        <v>116869.14981345275</v>
      </c>
      <c r="E13" s="78">
        <f t="shared" si="8"/>
        <v>163527.7337244855</v>
      </c>
      <c r="F13" s="9">
        <f t="shared" si="9"/>
        <v>134390.05347239081</v>
      </c>
      <c r="G13" s="39">
        <f t="shared" si="5"/>
        <v>550933.7195332984</v>
      </c>
      <c r="H13" s="35">
        <f t="shared" si="10"/>
        <v>553199.47381700878</v>
      </c>
      <c r="I13" s="106">
        <f t="shared" si="2"/>
        <v>4.6132579515900662E-2</v>
      </c>
      <c r="J13" s="14">
        <f t="shared" si="6"/>
        <v>0.45250698713367488</v>
      </c>
      <c r="K13" s="83"/>
      <c r="L13" s="1">
        <v>15</v>
      </c>
      <c r="M13" s="1"/>
      <c r="N13" s="41">
        <f>100+100+50+50</f>
        <v>300</v>
      </c>
      <c r="O13" s="1" t="s">
        <v>6</v>
      </c>
      <c r="P13" s="31"/>
    </row>
    <row r="14" spans="1:19" x14ac:dyDescent="0.25">
      <c r="A14" s="1">
        <v>62</v>
      </c>
      <c r="B14" s="4">
        <f t="shared" si="7"/>
        <v>48141</v>
      </c>
      <c r="C14" s="9">
        <f t="shared" si="3"/>
        <v>137200.1542747457</v>
      </c>
      <c r="D14" s="12">
        <f t="shared" si="4"/>
        <v>120570.16677422164</v>
      </c>
      <c r="E14" s="78">
        <f t="shared" si="8"/>
        <v>173669.04463588088</v>
      </c>
      <c r="F14" s="9">
        <f t="shared" si="9"/>
        <v>145066.35033640108</v>
      </c>
      <c r="G14" s="39">
        <f t="shared" si="5"/>
        <v>576505.7160212493</v>
      </c>
      <c r="H14" s="35">
        <f t="shared" si="10"/>
        <v>578908.32215295709</v>
      </c>
      <c r="I14" s="106">
        <f t="shared" si="2"/>
        <v>4.6415740371842151E-2</v>
      </c>
      <c r="J14" s="14">
        <f t="shared" si="6"/>
        <v>0.51992617433675825</v>
      </c>
      <c r="K14" s="83"/>
      <c r="L14" s="1"/>
      <c r="M14" s="38"/>
      <c r="P14" s="31"/>
    </row>
    <row r="15" spans="1:19" x14ac:dyDescent="0.25">
      <c r="A15" s="1">
        <v>63</v>
      </c>
      <c r="B15" s="4">
        <f t="shared" si="7"/>
        <v>48506</v>
      </c>
      <c r="C15" s="9">
        <f t="shared" si="3"/>
        <v>138261.67599545166</v>
      </c>
      <c r="D15" s="12">
        <f t="shared" si="4"/>
        <v>124388.38768971906</v>
      </c>
      <c r="E15" s="78">
        <f t="shared" si="8"/>
        <v>184193.69477888377</v>
      </c>
      <c r="F15" s="9">
        <f t="shared" si="9"/>
        <v>156590.80010892919</v>
      </c>
      <c r="G15" s="39">
        <f t="shared" si="5"/>
        <v>603434.55857298372</v>
      </c>
      <c r="H15" s="35">
        <f t="shared" si="10"/>
        <v>605811.93822467409</v>
      </c>
      <c r="I15" s="106">
        <f t="shared" si="2"/>
        <v>4.6710451958019927E-2</v>
      </c>
      <c r="J15" s="14">
        <f t="shared" si="6"/>
        <v>0.59092261288285242</v>
      </c>
      <c r="K15" s="83"/>
      <c r="L15" s="1"/>
      <c r="M15" s="31"/>
      <c r="P15" s="31"/>
      <c r="R15" s="32" t="s">
        <v>22</v>
      </c>
      <c r="S15" s="38" t="s">
        <v>23</v>
      </c>
    </row>
    <row r="16" spans="1:19" x14ac:dyDescent="0.25">
      <c r="A16" s="1">
        <v>64</v>
      </c>
      <c r="B16" s="4">
        <f t="shared" si="7"/>
        <v>48871</v>
      </c>
      <c r="C16" s="9">
        <f t="shared" si="3"/>
        <v>139331.41074164209</v>
      </c>
      <c r="D16" s="12">
        <f t="shared" si="4"/>
        <v>128327.52417952138</v>
      </c>
      <c r="E16" s="78">
        <f t="shared" si="8"/>
        <v>195116.17428872161</v>
      </c>
      <c r="F16" s="9">
        <f t="shared" si="9"/>
        <v>169030.78227233593</v>
      </c>
      <c r="G16" s="39">
        <f t="shared" si="5"/>
        <v>631805.89148222108</v>
      </c>
      <c r="H16" s="35">
        <f t="shared" si="10"/>
        <v>633965.84649299062</v>
      </c>
      <c r="I16" s="106">
        <f t="shared" si="2"/>
        <v>4.7016420432284489E-2</v>
      </c>
      <c r="J16" s="14">
        <f t="shared" si="6"/>
        <v>0.66572209932538096</v>
      </c>
      <c r="K16" s="83"/>
      <c r="L16" s="1"/>
      <c r="M16" s="31"/>
      <c r="P16" s="31"/>
    </row>
    <row r="17" spans="1:19" x14ac:dyDescent="0.25">
      <c r="A17" s="1">
        <v>65</v>
      </c>
      <c r="B17" s="4">
        <f t="shared" si="7"/>
        <v>49236</v>
      </c>
      <c r="C17" s="9">
        <f t="shared" si="3"/>
        <v>140409.42205774219</v>
      </c>
      <c r="D17" s="12">
        <f t="shared" si="4"/>
        <v>132391.40540292373</v>
      </c>
      <c r="E17" s="78">
        <f t="shared" si="8"/>
        <v>206451.52102441731</v>
      </c>
      <c r="F17" s="9">
        <f t="shared" si="9"/>
        <v>182459.02911105071</v>
      </c>
      <c r="G17" s="39">
        <f t="shared" si="5"/>
        <v>661711.37759613397</v>
      </c>
      <c r="H17" s="35">
        <f t="shared" si="10"/>
        <v>663428.15180792788</v>
      </c>
      <c r="I17" s="106">
        <f t="shared" si="2"/>
        <v>4.7333344809043165E-2</v>
      </c>
      <c r="J17" s="14">
        <f t="shared" si="6"/>
        <v>0.74456629780879258</v>
      </c>
      <c r="K17" s="83"/>
      <c r="L17" s="1">
        <v>23</v>
      </c>
      <c r="M17" s="1"/>
      <c r="N17" s="37">
        <f>40</f>
        <v>40</v>
      </c>
      <c r="O17" s="1" t="s">
        <v>24</v>
      </c>
      <c r="R17" s="34">
        <f>C8+D8</f>
        <v>231000</v>
      </c>
      <c r="S17" s="31">
        <f>E8+F8</f>
        <v>209800</v>
      </c>
    </row>
    <row r="18" spans="1:19" x14ac:dyDescent="0.25">
      <c r="A18" s="1">
        <v>66</v>
      </c>
      <c r="B18" s="4">
        <f t="shared" si="7"/>
        <v>49601</v>
      </c>
      <c r="C18" s="9">
        <f t="shared" si="3"/>
        <v>141495.77397982235</v>
      </c>
      <c r="D18" s="12">
        <f t="shared" si="4"/>
        <v>136583.98178119262</v>
      </c>
      <c r="E18" s="78">
        <f t="shared" si="8"/>
        <v>218215.34127262345</v>
      </c>
      <c r="F18" s="9">
        <f t="shared" si="9"/>
        <v>196954.05095214897</v>
      </c>
      <c r="G18" s="39">
        <f t="shared" si="5"/>
        <v>693249.14798578736</v>
      </c>
      <c r="H18" s="35">
        <f t="shared" si="10"/>
        <v>694259.65932716744</v>
      </c>
      <c r="I18" s="106">
        <f t="shared" si="2"/>
        <v>4.7660916008764875E-2</v>
      </c>
      <c r="J18" s="14">
        <f t="shared" si="6"/>
        <v>0.82771392560037915</v>
      </c>
      <c r="K18" s="83"/>
      <c r="L18" s="1">
        <v>23</v>
      </c>
      <c r="M18" s="1"/>
      <c r="N18" s="37">
        <f>50</f>
        <v>50</v>
      </c>
      <c r="O18" s="1" t="s">
        <v>47</v>
      </c>
      <c r="P18" s="31"/>
      <c r="R18" s="77">
        <f>R17/(R17+S17)</f>
        <v>0.52404718693284935</v>
      </c>
      <c r="S18" s="77">
        <f>S17/(S17+R17)</f>
        <v>0.47595281306715065</v>
      </c>
    </row>
    <row r="19" spans="1:19" x14ac:dyDescent="0.25">
      <c r="A19" s="1">
        <v>67</v>
      </c>
      <c r="B19" s="4">
        <f t="shared" si="7"/>
        <v>49966</v>
      </c>
      <c r="C19" s="9">
        <f t="shared" si="3"/>
        <v>142590.53103940192</v>
      </c>
      <c r="D19" s="12">
        <f t="shared" si="4"/>
        <v>140909.32883769489</v>
      </c>
      <c r="E19" s="78">
        <f t="shared" si="8"/>
        <v>230423.83123405662</v>
      </c>
      <c r="F19" s="9">
        <f t="shared" si="9"/>
        <v>212600.59518815178</v>
      </c>
      <c r="G19" s="39">
        <f>C19+D19+E19+F19</f>
        <v>726524.28629930527</v>
      </c>
      <c r="H19" s="35">
        <f t="shared" si="10"/>
        <v>726524.00000749389</v>
      </c>
      <c r="I19" s="106">
        <f t="shared" si="2"/>
        <v>4.7998816024798163E-2</v>
      </c>
      <c r="J19" s="14">
        <f t="shared" si="6"/>
        <v>0.91544203006123359</v>
      </c>
      <c r="K19" s="83"/>
      <c r="L19" s="1"/>
      <c r="M19" s="38"/>
    </row>
    <row r="20" spans="1:19" x14ac:dyDescent="0.25">
      <c r="L20" s="1"/>
      <c r="M20" s="1"/>
    </row>
    <row r="21" spans="1:19" x14ac:dyDescent="0.25">
      <c r="A21" s="18" t="s">
        <v>28</v>
      </c>
      <c r="B21" s="16">
        <f ca="1">TODAY()</f>
        <v>45808</v>
      </c>
      <c r="C21" s="5">
        <f>C8/C7-1</f>
        <v>7.692307692307665E-3</v>
      </c>
      <c r="D21" s="5">
        <f>D8/D7-1</f>
        <v>3.0927835051546282E-2</v>
      </c>
      <c r="E21" s="5">
        <f>E8/E7-1</f>
        <v>0</v>
      </c>
      <c r="F21" s="5">
        <f>F8/F7-1</f>
        <v>0</v>
      </c>
      <c r="G21" s="5">
        <f>G8/G7-1</f>
        <v>9.157509157509125E-3</v>
      </c>
      <c r="H21" s="6">
        <v>4.6473016611097692E-2</v>
      </c>
      <c r="L21" s="1">
        <v>28</v>
      </c>
      <c r="M21" s="36">
        <v>1747</v>
      </c>
      <c r="O21" s="1" t="s">
        <v>25</v>
      </c>
    </row>
    <row r="22" spans="1:19" x14ac:dyDescent="0.25">
      <c r="A22" s="18" t="s">
        <v>29</v>
      </c>
      <c r="B22" s="33">
        <v>45951</v>
      </c>
      <c r="F22" s="6"/>
      <c r="H22" s="1"/>
      <c r="L22" s="1"/>
      <c r="M22" s="31"/>
      <c r="S22" s="31"/>
    </row>
    <row r="23" spans="1:19" x14ac:dyDescent="0.25">
      <c r="A23" s="18" t="s">
        <v>30</v>
      </c>
      <c r="B23" s="19">
        <f ca="1">B22-B21-1</f>
        <v>142</v>
      </c>
      <c r="H23" s="34"/>
      <c r="L23" s="1" t="s">
        <v>26</v>
      </c>
      <c r="M23" s="38">
        <f>SUM(M4:M21)</f>
        <v>2047</v>
      </c>
      <c r="N23" s="38">
        <f>SUM(N3:N21)</f>
        <v>1455</v>
      </c>
      <c r="O23" s="1" t="s">
        <v>27</v>
      </c>
      <c r="P23" s="47">
        <f>M23-N23</f>
        <v>592</v>
      </c>
      <c r="S23" s="38"/>
    </row>
    <row r="24" spans="1:19" x14ac:dyDescent="0.25">
      <c r="A24" s="15" t="s">
        <v>31</v>
      </c>
      <c r="B24" s="16">
        <v>49980</v>
      </c>
      <c r="H24" s="1"/>
      <c r="L24" s="1"/>
      <c r="M24" s="1"/>
    </row>
    <row r="25" spans="1:19" x14ac:dyDescent="0.25">
      <c r="A25" s="17" t="s">
        <v>30</v>
      </c>
      <c r="B25" s="20">
        <f ca="1">B24-TODAY()</f>
        <v>4172</v>
      </c>
      <c r="H25" s="1"/>
    </row>
    <row r="26" spans="1:19" x14ac:dyDescent="0.25">
      <c r="H26" s="118"/>
    </row>
    <row r="27" spans="1:19" x14ac:dyDescent="0.25">
      <c r="H27" s="1"/>
    </row>
    <row r="28" spans="1:19" x14ac:dyDescent="0.25">
      <c r="C28" s="6">
        <v>1.0077370300807407</v>
      </c>
      <c r="D28" s="6">
        <v>1.0316680404253515</v>
      </c>
      <c r="E28" s="6">
        <v>1.0377997711495823</v>
      </c>
      <c r="F28" s="6">
        <v>1.0794426119207075</v>
      </c>
      <c r="G28" s="6">
        <v>1.0330985204741725</v>
      </c>
      <c r="H28" s="1"/>
    </row>
    <row r="29" spans="1:19" x14ac:dyDescent="0.25">
      <c r="C29" s="7"/>
      <c r="D29" s="7"/>
      <c r="E29" s="7"/>
      <c r="F29" s="7"/>
      <c r="G29" s="7"/>
      <c r="H29" s="1"/>
    </row>
    <row r="30" spans="1:19" x14ac:dyDescent="0.25">
      <c r="A30" s="1">
        <v>52</v>
      </c>
      <c r="C30" s="34">
        <f>C4</f>
        <v>127023.0177514793</v>
      </c>
      <c r="D30" s="34">
        <f>D4</f>
        <v>88275.480922521019</v>
      </c>
      <c r="E30" s="34">
        <f>E4</f>
        <v>101000</v>
      </c>
      <c r="F30" s="34">
        <f>F4</f>
        <v>63000</v>
      </c>
      <c r="G30" s="34">
        <f>G4</f>
        <v>379298.49867400032</v>
      </c>
      <c r="H30" s="1"/>
    </row>
    <row r="31" spans="1:19" x14ac:dyDescent="0.25">
      <c r="A31" s="1">
        <v>53</v>
      </c>
      <c r="C31" s="34">
        <f t="shared" ref="C31:F34" si="11">C30*C$28</f>
        <v>128005.79866076895</v>
      </c>
      <c r="D31" s="34">
        <f t="shared" si="11"/>
        <v>91070.99242094277</v>
      </c>
      <c r="E31" s="34">
        <f t="shared" si="11"/>
        <v>104817.77688610782</v>
      </c>
      <c r="F31" s="34">
        <f t="shared" si="11"/>
        <v>68004.884551004565</v>
      </c>
      <c r="G31" s="34">
        <f>G30*$G$28</f>
        <v>391852.7177981846</v>
      </c>
      <c r="H31" s="1"/>
    </row>
    <row r="32" spans="1:19" x14ac:dyDescent="0.25">
      <c r="A32" s="1">
        <v>54</v>
      </c>
      <c r="B32" s="10"/>
      <c r="C32" s="34">
        <f t="shared" si="11"/>
        <v>128996.18337551656</v>
      </c>
      <c r="D32" s="34">
        <f t="shared" si="11"/>
        <v>93955.032290506075</v>
      </c>
      <c r="E32" s="34">
        <f t="shared" si="11"/>
        <v>108779.86486481068</v>
      </c>
      <c r="F32" s="34">
        <f t="shared" si="11"/>
        <v>73407.370203102531</v>
      </c>
      <c r="G32" s="34">
        <f>G31*$G$28</f>
        <v>404822.46300108795</v>
      </c>
    </row>
    <row r="33" spans="1:12" x14ac:dyDescent="0.25">
      <c r="A33" s="1">
        <v>55</v>
      </c>
      <c r="C33" s="34">
        <f t="shared" si="11"/>
        <v>129994.23072659367</v>
      </c>
      <c r="D33" s="34">
        <f t="shared" si="11"/>
        <v>96930.404051247024</v>
      </c>
      <c r="E33" s="34">
        <f t="shared" si="11"/>
        <v>112891.71886238302</v>
      </c>
      <c r="F33" s="34">
        <f t="shared" si="11"/>
        <v>79239.043426267308</v>
      </c>
      <c r="G33" s="34">
        <f>G32*$G$28</f>
        <v>418221.48758113442</v>
      </c>
    </row>
    <row r="34" spans="1:12" x14ac:dyDescent="0.25">
      <c r="A34" s="1">
        <v>56</v>
      </c>
      <c r="C34" s="34">
        <f t="shared" si="11"/>
        <v>131000.00000004806</v>
      </c>
      <c r="D34" s="34">
        <f t="shared" si="11"/>
        <v>100000.00000518757</v>
      </c>
      <c r="E34" s="34">
        <f t="shared" si="11"/>
        <v>117159.00000006409</v>
      </c>
      <c r="F34" s="34">
        <f t="shared" si="11"/>
        <v>85534.000002148343</v>
      </c>
      <c r="G34" s="34">
        <f>G33*$G$28</f>
        <v>432064.00005057751</v>
      </c>
      <c r="L34" s="8"/>
    </row>
    <row r="35" spans="1:12" x14ac:dyDescent="0.25">
      <c r="C35" s="7"/>
      <c r="E35" s="34"/>
      <c r="F35" s="34"/>
      <c r="G35" s="34"/>
    </row>
    <row r="36" spans="1:12" x14ac:dyDescent="0.25">
      <c r="C36" s="7">
        <v>131000</v>
      </c>
      <c r="D36" s="115">
        <v>100000</v>
      </c>
      <c r="E36" s="115">
        <v>117158.8</v>
      </c>
      <c r="F36" s="115">
        <f>85121.34</f>
        <v>85121.34</v>
      </c>
      <c r="G36" s="115">
        <f>C36+D36+E36+F36</f>
        <v>433280.14</v>
      </c>
    </row>
    <row r="37" spans="1:12" x14ac:dyDescent="0.25">
      <c r="D37" s="13"/>
      <c r="L37" s="2"/>
    </row>
    <row r="40" spans="1:12" x14ac:dyDescent="0.25">
      <c r="D40" s="13"/>
    </row>
    <row r="41" spans="1:12" x14ac:dyDescent="0.25">
      <c r="D41" s="13"/>
    </row>
    <row r="42" spans="1:12" x14ac:dyDescent="0.25">
      <c r="D42" s="13"/>
    </row>
    <row r="43" spans="1:12" x14ac:dyDescent="0.25">
      <c r="D43" s="13"/>
    </row>
    <row r="44" spans="1:12" x14ac:dyDescent="0.25">
      <c r="D44" s="13"/>
    </row>
    <row r="45" spans="1:12" x14ac:dyDescent="0.25">
      <c r="D45" s="13"/>
    </row>
    <row r="46" spans="1:12" x14ac:dyDescent="0.25">
      <c r="D46" s="13"/>
    </row>
    <row r="47" spans="1:12" x14ac:dyDescent="0.25">
      <c r="D47" s="13"/>
    </row>
    <row r="48" spans="1:12" x14ac:dyDescent="0.25">
      <c r="D48" s="13"/>
    </row>
  </sheetData>
  <conditionalFormatting sqref="C28:G28">
    <cfRule type="cellIs" dxfId="0" priority="1" operator="greaterThan">
      <formula>1.0436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35BC9-7A5D-43B5-ADEB-C01E520B1B78}">
  <dimension ref="C4:L38"/>
  <sheetViews>
    <sheetView workbookViewId="0">
      <selection activeCell="C11" sqref="C11"/>
    </sheetView>
  </sheetViews>
  <sheetFormatPr baseColWidth="10" defaultColWidth="9.140625" defaultRowHeight="15" x14ac:dyDescent="0.25"/>
  <cols>
    <col min="1" max="1" width="16.85546875" customWidth="1"/>
    <col min="3" max="3" width="14.85546875" customWidth="1"/>
    <col min="4" max="4" width="17.42578125" customWidth="1"/>
    <col min="5" max="5" width="13.140625" customWidth="1"/>
    <col min="6" max="6" width="25.5703125" customWidth="1"/>
    <col min="7" max="7" width="29.42578125" customWidth="1"/>
    <col min="8" max="8" width="26.7109375" style="1" customWidth="1"/>
    <col min="9" max="9" width="26" style="1" customWidth="1"/>
    <col min="10" max="10" width="20.85546875" style="1" customWidth="1"/>
    <col min="11" max="11" width="13.5703125" style="1" customWidth="1"/>
    <col min="12" max="12" width="11" style="1" customWidth="1"/>
  </cols>
  <sheetData>
    <row r="4" spans="3:12" x14ac:dyDescent="0.25">
      <c r="C4" s="32" t="s">
        <v>2</v>
      </c>
      <c r="D4" s="32" t="s">
        <v>7</v>
      </c>
      <c r="E4" s="32" t="s">
        <v>32</v>
      </c>
      <c r="F4" s="32"/>
      <c r="G4" s="1" t="s">
        <v>2</v>
      </c>
      <c r="H4" s="1" t="s">
        <v>6</v>
      </c>
      <c r="I4" s="1" t="s">
        <v>33</v>
      </c>
      <c r="K4" s="32"/>
      <c r="L4" s="32"/>
    </row>
    <row r="6" spans="3:12" x14ac:dyDescent="0.25">
      <c r="C6" s="4">
        <v>45145</v>
      </c>
      <c r="E6" s="21">
        <v>40000</v>
      </c>
    </row>
    <row r="7" spans="3:12" x14ac:dyDescent="0.25">
      <c r="C7" s="1"/>
    </row>
    <row r="8" spans="3:12" x14ac:dyDescent="0.25">
      <c r="C8" s="4">
        <v>45565</v>
      </c>
      <c r="E8" s="21">
        <v>79000</v>
      </c>
    </row>
    <row r="9" spans="3:12" x14ac:dyDescent="0.25">
      <c r="C9" s="4">
        <v>45597</v>
      </c>
      <c r="D9" s="31">
        <v>21000</v>
      </c>
      <c r="E9" s="21">
        <v>100000</v>
      </c>
      <c r="F9" s="1"/>
      <c r="G9" s="3">
        <f>C9</f>
        <v>45597</v>
      </c>
      <c r="H9" s="31">
        <v>196000</v>
      </c>
      <c r="I9" s="31">
        <v>100000</v>
      </c>
    </row>
    <row r="10" spans="3:12" x14ac:dyDescent="0.25">
      <c r="C10" s="4">
        <v>45722</v>
      </c>
      <c r="D10" s="84">
        <v>20000</v>
      </c>
      <c r="E10" s="85">
        <f t="shared" ref="E10:E24" si="0">E9+D10</f>
        <v>120000</v>
      </c>
      <c r="F10" s="61"/>
      <c r="H10" s="6">
        <f>H9/(H9+I9)</f>
        <v>0.66216216216216217</v>
      </c>
      <c r="I10" s="6">
        <f>I9/(I9+H9)</f>
        <v>0.33783783783783783</v>
      </c>
    </row>
    <row r="11" spans="3:12" x14ac:dyDescent="0.25">
      <c r="C11" s="86">
        <f ca="1">TODAY()+C$27</f>
        <v>45933</v>
      </c>
      <c r="D11" s="87">
        <f>D10+D$27</f>
        <v>25000</v>
      </c>
      <c r="E11" s="85">
        <f t="shared" si="0"/>
        <v>145000</v>
      </c>
      <c r="F11" s="61"/>
      <c r="G11" s="3">
        <v>45722</v>
      </c>
      <c r="H11" s="63">
        <v>209000</v>
      </c>
      <c r="I11" s="63">
        <v>120000</v>
      </c>
      <c r="J11" s="6"/>
    </row>
    <row r="12" spans="3:12" x14ac:dyDescent="0.25">
      <c r="C12" s="58">
        <f t="shared" ref="C12:C24" ca="1" si="1">C11+C$27</f>
        <v>46058</v>
      </c>
      <c r="D12" s="59">
        <f t="shared" ref="D12:D24" si="2">D11+D$27</f>
        <v>30000</v>
      </c>
      <c r="E12" s="85">
        <f t="shared" si="0"/>
        <v>175000</v>
      </c>
      <c r="F12" s="62"/>
      <c r="H12" s="6">
        <f>H11/(H11+I11)</f>
        <v>0.63525835866261393</v>
      </c>
      <c r="I12" s="6">
        <f>I11/(I11+H11)</f>
        <v>0.36474164133738601</v>
      </c>
    </row>
    <row r="13" spans="3:12" x14ac:dyDescent="0.25">
      <c r="C13" s="58">
        <f t="shared" ca="1" si="1"/>
        <v>46183</v>
      </c>
      <c r="D13" s="59">
        <f t="shared" si="2"/>
        <v>35000</v>
      </c>
      <c r="E13" s="85">
        <f t="shared" si="0"/>
        <v>210000</v>
      </c>
      <c r="F13" s="62"/>
      <c r="H13"/>
      <c r="I13" s="54"/>
    </row>
    <row r="14" spans="3:12" x14ac:dyDescent="0.25">
      <c r="C14" s="58">
        <f t="shared" ca="1" si="1"/>
        <v>46308</v>
      </c>
      <c r="D14" s="59">
        <f t="shared" si="2"/>
        <v>40000</v>
      </c>
      <c r="E14" s="85">
        <f t="shared" si="0"/>
        <v>250000</v>
      </c>
      <c r="F14" s="62"/>
      <c r="H14"/>
      <c r="I14" s="54"/>
    </row>
    <row r="15" spans="3:12" x14ac:dyDescent="0.25">
      <c r="C15" s="58">
        <f t="shared" ca="1" si="1"/>
        <v>46433</v>
      </c>
      <c r="D15" s="59">
        <f t="shared" si="2"/>
        <v>45000</v>
      </c>
      <c r="E15" s="85">
        <f t="shared" si="0"/>
        <v>295000</v>
      </c>
      <c r="F15" s="62"/>
      <c r="H15"/>
      <c r="I15" s="54"/>
    </row>
    <row r="16" spans="3:12" x14ac:dyDescent="0.25">
      <c r="C16" s="58">
        <f t="shared" ca="1" si="1"/>
        <v>46558</v>
      </c>
      <c r="D16" s="59">
        <f t="shared" si="2"/>
        <v>50000</v>
      </c>
      <c r="E16" s="85">
        <f t="shared" si="0"/>
        <v>345000</v>
      </c>
      <c r="H16"/>
      <c r="I16" s="54"/>
    </row>
    <row r="17" spans="3:9" x14ac:dyDescent="0.25">
      <c r="C17" s="58">
        <f t="shared" ca="1" si="1"/>
        <v>46683</v>
      </c>
      <c r="D17" s="59">
        <f t="shared" si="2"/>
        <v>55000</v>
      </c>
      <c r="E17" s="85">
        <f t="shared" si="0"/>
        <v>400000</v>
      </c>
      <c r="H17"/>
      <c r="I17" s="54"/>
    </row>
    <row r="18" spans="3:9" x14ac:dyDescent="0.25">
      <c r="C18" s="58">
        <f t="shared" ca="1" si="1"/>
        <v>46808</v>
      </c>
      <c r="D18" s="59">
        <f t="shared" si="2"/>
        <v>60000</v>
      </c>
      <c r="E18" s="85">
        <f t="shared" si="0"/>
        <v>460000</v>
      </c>
      <c r="H18"/>
      <c r="I18" s="54"/>
    </row>
    <row r="19" spans="3:9" x14ac:dyDescent="0.25">
      <c r="C19" s="58">
        <f t="shared" ca="1" si="1"/>
        <v>46933</v>
      </c>
      <c r="D19" s="59">
        <f t="shared" si="2"/>
        <v>65000</v>
      </c>
      <c r="E19" s="85">
        <f t="shared" si="0"/>
        <v>525000</v>
      </c>
      <c r="H19"/>
      <c r="I19" s="54"/>
    </row>
    <row r="20" spans="3:9" x14ac:dyDescent="0.25">
      <c r="C20" s="58">
        <f t="shared" ca="1" si="1"/>
        <v>47058</v>
      </c>
      <c r="D20" s="59">
        <f t="shared" si="2"/>
        <v>70000</v>
      </c>
      <c r="E20" s="85">
        <f t="shared" si="0"/>
        <v>595000</v>
      </c>
      <c r="H20"/>
      <c r="I20" s="54"/>
    </row>
    <row r="21" spans="3:9" x14ac:dyDescent="0.25">
      <c r="C21" s="58">
        <f t="shared" ca="1" si="1"/>
        <v>47183</v>
      </c>
      <c r="D21" s="59">
        <f t="shared" si="2"/>
        <v>75000</v>
      </c>
      <c r="E21" s="85">
        <f t="shared" si="0"/>
        <v>670000</v>
      </c>
      <c r="H21"/>
      <c r="I21"/>
    </row>
    <row r="22" spans="3:9" x14ac:dyDescent="0.25">
      <c r="C22" s="58">
        <f t="shared" ca="1" si="1"/>
        <v>47308</v>
      </c>
      <c r="D22" s="59">
        <f t="shared" si="2"/>
        <v>80000</v>
      </c>
      <c r="E22" s="85">
        <f t="shared" si="0"/>
        <v>750000</v>
      </c>
    </row>
    <row r="23" spans="3:9" x14ac:dyDescent="0.25">
      <c r="C23" s="58">
        <f t="shared" ca="1" si="1"/>
        <v>47433</v>
      </c>
      <c r="D23" s="59">
        <f t="shared" si="2"/>
        <v>85000</v>
      </c>
      <c r="E23" s="85">
        <f t="shared" si="0"/>
        <v>835000</v>
      </c>
    </row>
    <row r="24" spans="3:9" x14ac:dyDescent="0.25">
      <c r="C24" s="58">
        <f t="shared" ca="1" si="1"/>
        <v>47558</v>
      </c>
      <c r="D24" s="59">
        <f t="shared" si="2"/>
        <v>90000</v>
      </c>
      <c r="E24" s="85">
        <f t="shared" si="0"/>
        <v>925000</v>
      </c>
    </row>
    <row r="25" spans="3:9" x14ac:dyDescent="0.25">
      <c r="C25" s="58"/>
      <c r="D25" s="59"/>
      <c r="E25" s="60"/>
    </row>
    <row r="26" spans="3:9" x14ac:dyDescent="0.25">
      <c r="C26" s="58"/>
      <c r="D26" s="59"/>
      <c r="E26" s="60"/>
    </row>
    <row r="27" spans="3:9" x14ac:dyDescent="0.25">
      <c r="C27" s="64">
        <f>C10-C9</f>
        <v>125</v>
      </c>
      <c r="D27" s="59">
        <v>5000</v>
      </c>
      <c r="E27" s="60"/>
    </row>
    <row r="32" spans="3:9" x14ac:dyDescent="0.25">
      <c r="C32" s="32"/>
      <c r="D32" s="32"/>
      <c r="E32" s="32"/>
    </row>
    <row r="33" spans="3:5" x14ac:dyDescent="0.25">
      <c r="C33" s="1"/>
      <c r="D33" s="1"/>
      <c r="E33" s="1"/>
    </row>
    <row r="34" spans="3:5" x14ac:dyDescent="0.25">
      <c r="C34" s="4"/>
      <c r="D34" s="31"/>
      <c r="E34" s="1"/>
    </row>
    <row r="35" spans="3:5" x14ac:dyDescent="0.25">
      <c r="C35" s="4"/>
      <c r="D35" s="1"/>
      <c r="E35" s="31"/>
    </row>
    <row r="36" spans="3:5" x14ac:dyDescent="0.25">
      <c r="E36" s="21"/>
    </row>
    <row r="37" spans="3:5" x14ac:dyDescent="0.25">
      <c r="E37" s="21"/>
    </row>
    <row r="38" spans="3:5" x14ac:dyDescent="0.25">
      <c r="E38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9CB4-F716-41F9-862D-8B5428A2E512}">
  <dimension ref="B1:Q29"/>
  <sheetViews>
    <sheetView workbookViewId="0">
      <selection activeCell="J22" sqref="J22"/>
    </sheetView>
  </sheetViews>
  <sheetFormatPr baseColWidth="10" defaultColWidth="9.140625" defaultRowHeight="15" x14ac:dyDescent="0.25"/>
  <cols>
    <col min="1" max="1" width="3.28515625" customWidth="1"/>
    <col min="2" max="2" width="4.140625" customWidth="1"/>
    <col min="3" max="3" width="16.5703125" customWidth="1"/>
    <col min="4" max="4" width="16.42578125" customWidth="1"/>
    <col min="5" max="5" width="15.140625" customWidth="1"/>
    <col min="6" max="6" width="16.7109375" customWidth="1"/>
    <col min="7" max="7" width="3.42578125" customWidth="1"/>
    <col min="8" max="8" width="16.28515625" customWidth="1"/>
    <col min="9" max="9" width="11.7109375" customWidth="1"/>
    <col min="10" max="10" width="35.140625" customWidth="1"/>
    <col min="11" max="11" width="13.7109375" customWidth="1"/>
    <col min="12" max="12" width="3" customWidth="1"/>
    <col min="13" max="13" width="13.140625" customWidth="1"/>
    <col min="14" max="14" width="8.85546875" customWidth="1"/>
    <col min="15" max="15" width="11.42578125" customWidth="1"/>
    <col min="16" max="16" width="18.5703125" customWidth="1"/>
    <col min="17" max="17" width="14.7109375" customWidth="1"/>
  </cols>
  <sheetData>
    <row r="1" spans="2:17" ht="21" customHeight="1" x14ac:dyDescent="0.4">
      <c r="D1" s="51" t="s">
        <v>34</v>
      </c>
      <c r="E1" s="51" t="s">
        <v>35</v>
      </c>
      <c r="F1" s="52" t="s">
        <v>36</v>
      </c>
      <c r="G1" s="44"/>
      <c r="H1" s="42"/>
      <c r="I1" s="42"/>
      <c r="J1" s="44"/>
      <c r="K1" s="43"/>
      <c r="L1" s="44"/>
      <c r="M1" s="42"/>
      <c r="N1" s="42"/>
      <c r="O1" s="45"/>
    </row>
    <row r="2" spans="2:17" ht="15.75" x14ac:dyDescent="0.25">
      <c r="C2" s="1"/>
      <c r="D2" s="28" t="s">
        <v>37</v>
      </c>
      <c r="E2" s="28" t="s">
        <v>38</v>
      </c>
      <c r="H2" s="50"/>
      <c r="I2" s="75"/>
      <c r="J2" s="66"/>
      <c r="K2" s="76"/>
      <c r="L2" s="66"/>
      <c r="M2" s="66"/>
      <c r="O2" s="1"/>
    </row>
    <row r="3" spans="2:17" ht="15.75" x14ac:dyDescent="0.25">
      <c r="C3" s="14"/>
      <c r="D3" s="5">
        <f>D6/D5*100%-100%</f>
        <v>-0.11393206209708773</v>
      </c>
      <c r="E3" s="5">
        <f>E6/E5*100%-100%</f>
        <v>0.83811129848229338</v>
      </c>
      <c r="H3" s="6"/>
      <c r="I3" s="66"/>
      <c r="J3" s="66"/>
      <c r="K3" s="67"/>
      <c r="L3" s="66"/>
      <c r="M3" s="66"/>
      <c r="N3" s="49"/>
      <c r="O3" s="1"/>
      <c r="P3" s="1"/>
      <c r="Q3" s="28"/>
    </row>
    <row r="4" spans="2:17" ht="15.75" x14ac:dyDescent="0.25">
      <c r="D4" s="1"/>
      <c r="E4" s="1"/>
      <c r="I4" s="66"/>
      <c r="J4" s="66"/>
      <c r="K4" s="66"/>
      <c r="L4" s="66"/>
      <c r="M4" s="66"/>
      <c r="N4" s="49"/>
    </row>
    <row r="5" spans="2:17" ht="15.75" x14ac:dyDescent="0.25">
      <c r="B5">
        <v>55</v>
      </c>
      <c r="C5" s="99">
        <v>45586</v>
      </c>
      <c r="D5" s="100">
        <v>110601</v>
      </c>
      <c r="E5" s="100">
        <v>59300</v>
      </c>
      <c r="F5" s="101">
        <f>D5+E5</f>
        <v>169901</v>
      </c>
      <c r="H5" s="22"/>
      <c r="I5" s="66" t="s">
        <v>38</v>
      </c>
      <c r="J5" s="68" t="s">
        <v>39</v>
      </c>
      <c r="K5" s="66"/>
      <c r="L5" s="69"/>
      <c r="M5" s="70"/>
      <c r="N5" s="55"/>
    </row>
    <row r="6" spans="2:17" ht="15.75" x14ac:dyDescent="0.25">
      <c r="B6">
        <v>56</v>
      </c>
      <c r="C6" s="26">
        <f ca="1">TODAY()</f>
        <v>45808</v>
      </c>
      <c r="D6" s="30">
        <v>98000</v>
      </c>
      <c r="E6" s="30">
        <v>109000</v>
      </c>
      <c r="F6" s="101">
        <f t="shared" ref="F6:F17" si="0">D6+E6</f>
        <v>207000</v>
      </c>
      <c r="G6" s="2"/>
      <c r="H6" s="23"/>
      <c r="I6" s="66" t="s">
        <v>37</v>
      </c>
      <c r="J6" s="68" t="s">
        <v>40</v>
      </c>
      <c r="K6" s="69"/>
      <c r="L6" s="69"/>
      <c r="M6" s="71"/>
      <c r="N6" s="56"/>
      <c r="O6" s="29"/>
      <c r="P6" s="14"/>
    </row>
    <row r="7" spans="2:17" ht="15.75" x14ac:dyDescent="0.25">
      <c r="B7">
        <v>57</v>
      </c>
      <c r="C7" s="4">
        <v>46316</v>
      </c>
      <c r="D7" s="23">
        <f>D6*(1+D$3)</f>
        <v>86834.657914485404</v>
      </c>
      <c r="E7" s="23">
        <f t="shared" ref="E7:E17" si="1">E6*(1+E$3)</f>
        <v>200354.13153456998</v>
      </c>
      <c r="F7" s="101">
        <f t="shared" si="0"/>
        <v>287188.78944905539</v>
      </c>
      <c r="H7" s="23"/>
      <c r="I7" s="72"/>
      <c r="J7" s="73"/>
      <c r="K7" s="74"/>
      <c r="L7" s="69"/>
      <c r="M7" s="71"/>
      <c r="N7" s="56"/>
    </row>
    <row r="8" spans="2:17" ht="15.75" x14ac:dyDescent="0.25">
      <c r="B8">
        <v>58</v>
      </c>
      <c r="C8" s="4">
        <f t="shared" ref="C8:C17" si="2">C7+365</f>
        <v>46681</v>
      </c>
      <c r="D8" s="23">
        <f t="shared" ref="D8:D17" si="3">D7*(1+D$3)</f>
        <v>76941.406276792884</v>
      </c>
      <c r="E8" s="23">
        <f t="shared" si="1"/>
        <v>368273.19287130062</v>
      </c>
      <c r="F8" s="101">
        <f t="shared" si="0"/>
        <v>445214.59914809349</v>
      </c>
      <c r="H8" s="23"/>
      <c r="I8" s="66"/>
      <c r="J8" s="66"/>
      <c r="K8" s="66"/>
      <c r="L8" s="66"/>
      <c r="M8" s="66"/>
      <c r="N8" s="56"/>
    </row>
    <row r="9" spans="2:17" ht="15.75" x14ac:dyDescent="0.25">
      <c r="B9">
        <v>59</v>
      </c>
      <c r="C9" s="4">
        <f t="shared" si="2"/>
        <v>47046</v>
      </c>
      <c r="D9" s="23">
        <f t="shared" si="3"/>
        <v>68175.313199028067</v>
      </c>
      <c r="E9" s="23">
        <f t="shared" si="1"/>
        <v>676927.1167448865</v>
      </c>
      <c r="F9" s="101">
        <f t="shared" si="0"/>
        <v>745102.42994391453</v>
      </c>
      <c r="H9" s="23"/>
      <c r="I9" s="104" t="s">
        <v>41</v>
      </c>
      <c r="J9" s="105" t="s">
        <v>42</v>
      </c>
      <c r="K9" s="73"/>
      <c r="L9" s="69"/>
      <c r="M9" s="71"/>
      <c r="N9" s="56"/>
    </row>
    <row r="10" spans="2:17" ht="15.75" x14ac:dyDescent="0.25">
      <c r="B10">
        <v>60</v>
      </c>
      <c r="C10" s="4">
        <f t="shared" si="2"/>
        <v>47411</v>
      </c>
      <c r="D10" s="23">
        <f t="shared" si="3"/>
        <v>60407.959182147999</v>
      </c>
      <c r="E10" s="23">
        <f t="shared" si="1"/>
        <v>1244267.3815378183</v>
      </c>
      <c r="F10" s="101">
        <f t="shared" si="0"/>
        <v>1304675.3407199665</v>
      </c>
      <c r="H10" s="23"/>
      <c r="I10" s="104">
        <v>977988</v>
      </c>
      <c r="J10" s="105" t="s">
        <v>42</v>
      </c>
      <c r="K10" s="49"/>
      <c r="L10" s="49"/>
      <c r="M10" s="57"/>
      <c r="N10" s="57"/>
    </row>
    <row r="11" spans="2:17" ht="15.75" x14ac:dyDescent="0.25">
      <c r="B11">
        <v>61</v>
      </c>
      <c r="C11" s="4">
        <f t="shared" si="2"/>
        <v>47776</v>
      </c>
      <c r="D11" s="23">
        <f t="shared" si="3"/>
        <v>53525.55582544917</v>
      </c>
      <c r="E11" s="23">
        <f t="shared" si="1"/>
        <v>2287101.9323376426</v>
      </c>
      <c r="F11" s="101">
        <f t="shared" si="0"/>
        <v>2340627.4881630917</v>
      </c>
      <c r="H11" s="23"/>
      <c r="L11" s="49"/>
      <c r="M11" s="57"/>
      <c r="N11" s="57"/>
    </row>
    <row r="12" spans="2:17" ht="15.75" x14ac:dyDescent="0.25">
      <c r="B12">
        <v>62</v>
      </c>
      <c r="C12" s="4">
        <f t="shared" si="2"/>
        <v>48141</v>
      </c>
      <c r="D12" s="23">
        <f t="shared" si="3"/>
        <v>47427.278875362957</v>
      </c>
      <c r="E12" s="23">
        <f t="shared" si="1"/>
        <v>4203947.9026105069</v>
      </c>
      <c r="F12" s="101">
        <f t="shared" si="0"/>
        <v>4251375.1814858699</v>
      </c>
      <c r="H12" s="23"/>
      <c r="K12" s="49"/>
      <c r="L12" s="49"/>
      <c r="M12" s="57"/>
      <c r="N12" s="57"/>
    </row>
    <row r="13" spans="2:17" ht="15.75" x14ac:dyDescent="0.25">
      <c r="B13">
        <v>63</v>
      </c>
      <c r="C13" s="4">
        <f t="shared" si="2"/>
        <v>48506</v>
      </c>
      <c r="D13" s="23">
        <f t="shared" si="3"/>
        <v>42023.79119343921</v>
      </c>
      <c r="E13" s="23">
        <f t="shared" si="1"/>
        <v>7727324.1380193122</v>
      </c>
      <c r="F13" s="101">
        <f t="shared" si="0"/>
        <v>7769347.9292127518</v>
      </c>
      <c r="H13" s="23"/>
      <c r="J13" s="49"/>
      <c r="K13" s="49"/>
      <c r="L13" s="49"/>
      <c r="M13" s="57"/>
      <c r="N13" s="107"/>
      <c r="O13" s="107"/>
      <c r="P13" s="107"/>
    </row>
    <row r="14" spans="2:17" ht="15.75" x14ac:dyDescent="0.25">
      <c r="B14">
        <v>64</v>
      </c>
      <c r="C14" s="4">
        <f t="shared" si="2"/>
        <v>48871</v>
      </c>
      <c r="D14" s="23">
        <f t="shared" si="3"/>
        <v>37235.934005633244</v>
      </c>
      <c r="E14" s="23">
        <f t="shared" si="1"/>
        <v>14203681.805128247</v>
      </c>
      <c r="F14" s="101">
        <f t="shared" si="0"/>
        <v>14240917.73913388</v>
      </c>
      <c r="H14" s="23"/>
      <c r="J14" s="53"/>
      <c r="K14" s="49"/>
      <c r="L14" s="49"/>
      <c r="M14" s="57"/>
      <c r="N14" s="108"/>
      <c r="O14" s="108"/>
      <c r="P14" s="107"/>
    </row>
    <row r="15" spans="2:17" ht="15.75" x14ac:dyDescent="0.25">
      <c r="B15">
        <v>65</v>
      </c>
      <c r="C15" s="4">
        <f t="shared" si="2"/>
        <v>49236</v>
      </c>
      <c r="D15" s="23">
        <f t="shared" si="3"/>
        <v>32993.567260260374</v>
      </c>
      <c r="E15" s="23">
        <f t="shared" si="1"/>
        <v>26107948.006053604</v>
      </c>
      <c r="F15" s="101">
        <f t="shared" si="0"/>
        <v>26140941.573313866</v>
      </c>
      <c r="H15" s="23"/>
      <c r="I15" s="23"/>
      <c r="J15" s="65"/>
      <c r="K15" s="57"/>
      <c r="L15" s="49"/>
      <c r="M15" s="57"/>
      <c r="N15" s="108"/>
      <c r="O15" s="109"/>
      <c r="P15" s="107"/>
    </row>
    <row r="16" spans="2:17" ht="15.75" x14ac:dyDescent="0.25">
      <c r="B16">
        <v>66</v>
      </c>
      <c r="C16" s="4">
        <f t="shared" si="2"/>
        <v>49601</v>
      </c>
      <c r="D16" s="23">
        <f t="shared" si="3"/>
        <v>29234.54210635995</v>
      </c>
      <c r="E16" s="23">
        <f t="shared" si="1"/>
        <v>47989314.210115395</v>
      </c>
      <c r="F16" s="101">
        <f t="shared" si="0"/>
        <v>48018548.752221756</v>
      </c>
      <c r="H16" s="23"/>
      <c r="I16" s="23"/>
      <c r="J16" s="53"/>
      <c r="K16" s="57"/>
      <c r="L16" s="49"/>
      <c r="M16" s="57"/>
      <c r="N16" s="108"/>
      <c r="O16" s="108"/>
      <c r="P16" s="107"/>
    </row>
    <row r="17" spans="2:16" ht="15.75" x14ac:dyDescent="0.25">
      <c r="B17">
        <v>67</v>
      </c>
      <c r="C17" s="4">
        <f t="shared" si="2"/>
        <v>49966</v>
      </c>
      <c r="D17" s="23">
        <f t="shared" si="3"/>
        <v>25903.790439718221</v>
      </c>
      <c r="E17" s="23">
        <f t="shared" si="1"/>
        <v>88209700.656029984</v>
      </c>
      <c r="F17" s="101">
        <f t="shared" si="0"/>
        <v>88235604.446469709</v>
      </c>
      <c r="H17" s="23"/>
      <c r="I17" s="23"/>
      <c r="J17" s="53"/>
      <c r="K17" s="57"/>
      <c r="L17" s="49"/>
      <c r="M17" s="57"/>
      <c r="N17" s="108"/>
      <c r="O17" s="108"/>
      <c r="P17" s="107"/>
    </row>
    <row r="18" spans="2:16" ht="15.75" x14ac:dyDescent="0.25">
      <c r="J18" s="53"/>
      <c r="N18" s="108"/>
      <c r="O18" s="108"/>
      <c r="P18" s="107"/>
    </row>
    <row r="19" spans="2:16" ht="15.75" x14ac:dyDescent="0.25">
      <c r="J19" s="53"/>
      <c r="N19" s="108"/>
      <c r="O19" s="108"/>
      <c r="P19" s="107"/>
    </row>
    <row r="20" spans="2:16" x14ac:dyDescent="0.25">
      <c r="N20" s="110"/>
      <c r="O20" s="110"/>
    </row>
    <row r="21" spans="2:16" x14ac:dyDescent="0.25">
      <c r="N21" s="110"/>
      <c r="O21" s="110"/>
    </row>
    <row r="22" spans="2:16" x14ac:dyDescent="0.25">
      <c r="N22" s="110"/>
      <c r="O22" s="110"/>
    </row>
    <row r="23" spans="2:16" x14ac:dyDescent="0.25">
      <c r="N23" s="110"/>
      <c r="O23" s="110"/>
    </row>
    <row r="25" spans="2:16" x14ac:dyDescent="0.25">
      <c r="H25" s="53"/>
    </row>
    <row r="26" spans="2:16" x14ac:dyDescent="0.25">
      <c r="H26" s="53"/>
    </row>
    <row r="27" spans="2:16" x14ac:dyDescent="0.25">
      <c r="H27" s="53"/>
    </row>
    <row r="28" spans="2:16" x14ac:dyDescent="0.25">
      <c r="H28" s="53"/>
    </row>
    <row r="29" spans="2:16" x14ac:dyDescent="0.25">
      <c r="H29" s="53"/>
    </row>
  </sheetData>
  <hyperlinks>
    <hyperlink ref="J5" r:id="rId1" display="https://www.fidelity.de/produkte-services/fonds-verschiedener-anbieter/fondsfinder/fondsportrait/?ISIN=LU1900066033" xr:uid="{6B84EB02-E7F0-42E8-B917-7E0CEF978F2E}"/>
    <hyperlink ref="J6" r:id="rId2" display="https://www.fidelity.de/produkte-services/fonds-verschiedener-anbieter/fondsfinder/fondsportrait/?ISIN=LU0346389348" xr:uid="{EE619BF2-EFDE-428D-9FA9-A0939D92D1A8}"/>
    <hyperlink ref="J9" r:id="rId3" location="/" display="https://www.fidelity.de/produkte-services/fonds-verschiedener-anbieter/fondsfinder/fondsportrait/?ISIN=FR0010756114 - /" xr:uid="{54DDE0E1-37F3-41B7-990F-4E26CD51A509}"/>
    <hyperlink ref="J10" r:id="rId4" location="/" display="https://www.fidelity.de/produkte-services/fonds-verschiedener-anbieter/fondsfinder/fondsportrait/?ISIN=DE0009779884 - /" xr:uid="{A67A8C7C-D2A6-4EC7-B008-1986A394C738}"/>
  </hyperlinks>
  <pageMargins left="0.7" right="0.7" top="0.75" bottom="0.75" header="0.3" footer="0.3"/>
  <pageSetup paperSize="9" orientation="portrait" horizontalDpi="4294967293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02F9-E558-4661-BBEE-DD92D2D8215A}">
  <dimension ref="E3:J50"/>
  <sheetViews>
    <sheetView workbookViewId="0">
      <selection activeCell="G6" sqref="G6"/>
    </sheetView>
  </sheetViews>
  <sheetFormatPr baseColWidth="10" defaultColWidth="11.42578125" defaultRowHeight="15" x14ac:dyDescent="0.25"/>
  <cols>
    <col min="6" max="6" width="20.140625" style="1" customWidth="1"/>
    <col min="7" max="7" width="21.7109375" customWidth="1"/>
    <col min="8" max="8" width="21.140625" customWidth="1"/>
    <col min="9" max="9" width="15.5703125" customWidth="1"/>
    <col min="10" max="10" width="16" customWidth="1"/>
  </cols>
  <sheetData>
    <row r="3" spans="5:10" x14ac:dyDescent="0.25">
      <c r="F3" s="1" t="s">
        <v>43</v>
      </c>
      <c r="G3" s="103">
        <f>Overview!G21</f>
        <v>9.157509157509125E-3</v>
      </c>
    </row>
    <row r="4" spans="5:10" x14ac:dyDescent="0.25">
      <c r="F4" s="1" t="s">
        <v>44</v>
      </c>
      <c r="G4" s="27">
        <v>1533.991302888136</v>
      </c>
    </row>
    <row r="6" spans="5:10" x14ac:dyDescent="0.25">
      <c r="E6" s="1" t="s">
        <v>45</v>
      </c>
      <c r="F6" s="18">
        <v>56</v>
      </c>
      <c r="G6" s="25">
        <f>Overview!D8+Overview!E8+Overview!F8</f>
        <v>309800</v>
      </c>
    </row>
    <row r="7" spans="5:10" x14ac:dyDescent="0.25">
      <c r="E7" s="24"/>
      <c r="F7" s="1">
        <v>57</v>
      </c>
      <c r="G7" s="21">
        <f t="shared" ref="G7:G41" si="0">(G6-12*G$4)*(1+G$3)</f>
        <v>294060.53022949386</v>
      </c>
    </row>
    <row r="8" spans="5:10" x14ac:dyDescent="0.25">
      <c r="F8" s="1">
        <v>58</v>
      </c>
      <c r="G8" s="21">
        <f t="shared" si="0"/>
        <v>278176.92612042994</v>
      </c>
    </row>
    <row r="9" spans="5:10" x14ac:dyDescent="0.25">
      <c r="F9" s="1">
        <v>59</v>
      </c>
      <c r="G9" s="21">
        <f t="shared" si="0"/>
        <v>262147.86776128301</v>
      </c>
    </row>
    <row r="10" spans="5:10" x14ac:dyDescent="0.25">
      <c r="F10" s="1">
        <v>60</v>
      </c>
      <c r="G10" s="21">
        <f t="shared" si="0"/>
        <v>245972.02315342595</v>
      </c>
    </row>
    <row r="11" spans="5:10" x14ac:dyDescent="0.25">
      <c r="F11" s="1">
        <v>61</v>
      </c>
      <c r="G11" s="21">
        <f t="shared" si="0"/>
        <v>229648.04810044201</v>
      </c>
    </row>
    <row r="12" spans="5:10" x14ac:dyDescent="0.25">
      <c r="F12" s="1">
        <v>62</v>
      </c>
      <c r="G12" s="21">
        <f t="shared" si="0"/>
        <v>213174.58609642345</v>
      </c>
    </row>
    <row r="13" spans="5:10" x14ac:dyDescent="0.25">
      <c r="F13" s="1">
        <v>63</v>
      </c>
      <c r="G13" s="21">
        <f t="shared" si="0"/>
        <v>196550.26821324715</v>
      </c>
    </row>
    <row r="14" spans="5:10" x14ac:dyDescent="0.25">
      <c r="F14" s="1">
        <v>64</v>
      </c>
      <c r="G14" s="21">
        <f t="shared" si="0"/>
        <v>179773.71298681837</v>
      </c>
      <c r="I14" s="1" t="str">
        <f>F3</f>
        <v>GK Zins</v>
      </c>
      <c r="J14" s="103">
        <f>G3</f>
        <v>9.157509157509125E-3</v>
      </c>
    </row>
    <row r="15" spans="5:10" x14ac:dyDescent="0.25">
      <c r="F15" s="1">
        <v>65</v>
      </c>
      <c r="G15" s="21">
        <f t="shared" si="0"/>
        <v>162843.5263022721</v>
      </c>
      <c r="I15" s="1" t="str">
        <f>F4</f>
        <v>pro Monat</v>
      </c>
      <c r="J15" s="27">
        <v>5985.2906703847239</v>
      </c>
    </row>
    <row r="16" spans="5:10" x14ac:dyDescent="0.25">
      <c r="F16" s="1">
        <v>66</v>
      </c>
      <c r="G16" s="21">
        <f t="shared" si="0"/>
        <v>145758.30127812375</v>
      </c>
    </row>
    <row r="17" spans="6:10" x14ac:dyDescent="0.25">
      <c r="F17" s="1">
        <v>67</v>
      </c>
      <c r="G17" s="21">
        <f t="shared" si="0"/>
        <v>128516.61814935866</v>
      </c>
      <c r="J17" s="35">
        <f>Overview!G19</f>
        <v>726524.28629930527</v>
      </c>
    </row>
    <row r="18" spans="6:10" x14ac:dyDescent="0.25">
      <c r="F18" s="1">
        <v>68</v>
      </c>
      <c r="G18" s="21">
        <f t="shared" si="0"/>
        <v>111117.04414945105</v>
      </c>
      <c r="J18" s="21">
        <f>(J17-12*J$15)*(1+G$3)</f>
        <v>660696.22681013448</v>
      </c>
    </row>
    <row r="19" spans="6:10" x14ac:dyDescent="0.25">
      <c r="F19" s="1">
        <v>69</v>
      </c>
      <c r="G19" s="21">
        <f t="shared" si="0"/>
        <v>93558.133391302516</v>
      </c>
      <c r="J19" s="21">
        <f t="shared" ref="J19:J49" si="1">(J18-12*J$15)*(1+G$3)</f>
        <v>594265.34626337059</v>
      </c>
    </row>
    <row r="20" spans="6:10" x14ac:dyDescent="0.25">
      <c r="F20" s="1">
        <v>70</v>
      </c>
      <c r="G20" s="21">
        <f t="shared" si="0"/>
        <v>75838.426747090343</v>
      </c>
      <c r="J20" s="21">
        <f t="shared" si="1"/>
        <v>527226.12431965827</v>
      </c>
    </row>
    <row r="21" spans="6:10" x14ac:dyDescent="0.25">
      <c r="F21" s="1">
        <v>71</v>
      </c>
      <c r="G21" s="21">
        <f t="shared" si="0"/>
        <v>57956.451727015425</v>
      </c>
      <c r="J21" s="21">
        <f t="shared" si="1"/>
        <v>459572.99008708412</v>
      </c>
    </row>
    <row r="22" spans="6:10" x14ac:dyDescent="0.25">
      <c r="F22" s="1">
        <v>72</v>
      </c>
      <c r="G22" s="21">
        <f t="shared" si="0"/>
        <v>39910.722356939827</v>
      </c>
      <c r="J22" s="21">
        <f t="shared" si="1"/>
        <v>391300.32165824098</v>
      </c>
    </row>
    <row r="23" spans="6:10" x14ac:dyDescent="0.25">
      <c r="F23" s="1">
        <v>73</v>
      </c>
      <c r="G23" s="21">
        <f t="shared" si="0"/>
        <v>21699.739054903828</v>
      </c>
      <c r="J23" s="21">
        <f t="shared" si="1"/>
        <v>322402.4456430531</v>
      </c>
    </row>
    <row r="24" spans="6:10" x14ac:dyDescent="0.25">
      <c r="F24" s="1">
        <v>74</v>
      </c>
      <c r="G24" s="21">
        <f t="shared" si="0"/>
        <v>3321.9885065121885</v>
      </c>
      <c r="J24" s="21">
        <f t="shared" si="1"/>
        <v>252873.63669732318</v>
      </c>
    </row>
    <row r="25" spans="6:10" x14ac:dyDescent="0.25">
      <c r="F25" s="1">
        <v>75</v>
      </c>
      <c r="G25" s="21">
        <f t="shared" si="0"/>
        <v>-15224.056460820766</v>
      </c>
      <c r="J25" s="21">
        <f t="shared" si="1"/>
        <v>182708.11704696206</v>
      </c>
    </row>
    <row r="26" spans="6:10" x14ac:dyDescent="0.25">
      <c r="F26" s="1">
        <v>76</v>
      </c>
      <c r="G26" s="21">
        <f t="shared" si="0"/>
        <v>-33939.937004777647</v>
      </c>
      <c r="J26" s="21">
        <f t="shared" si="1"/>
        <v>111900.05600786136</v>
      </c>
    </row>
    <row r="27" spans="6:10" x14ac:dyDescent="0.25">
      <c r="F27" s="1">
        <v>77</v>
      </c>
      <c r="G27" s="21">
        <f t="shared" si="0"/>
        <v>-52827.208396206661</v>
      </c>
      <c r="J27" s="21">
        <f t="shared" si="1"/>
        <v>40443.569501369631</v>
      </c>
    </row>
    <row r="28" spans="6:10" x14ac:dyDescent="0.25">
      <c r="F28" s="1">
        <v>78</v>
      </c>
      <c r="G28" s="21">
        <f t="shared" si="0"/>
        <v>-71887.440148363035</v>
      </c>
      <c r="J28" s="21">
        <f t="shared" si="1"/>
        <v>-31667.280434668723</v>
      </c>
    </row>
    <row r="29" spans="6:10" x14ac:dyDescent="0.25">
      <c r="F29" s="1">
        <v>79</v>
      </c>
      <c r="G29" s="21">
        <f t="shared" si="0"/>
        <v>-91122.216147334038</v>
      </c>
      <c r="J29" s="21">
        <f t="shared" si="1"/>
        <v>-104438.48613935211</v>
      </c>
    </row>
    <row r="30" spans="6:10" x14ac:dyDescent="0.25">
      <c r="F30" s="1">
        <v>80</v>
      </c>
      <c r="G30" s="21">
        <f t="shared" si="0"/>
        <v>-110533.13478365826</v>
      </c>
      <c r="J30" s="21">
        <f t="shared" si="1"/>
        <v>-177876.09482667912</v>
      </c>
    </row>
    <row r="31" spans="6:10" x14ac:dyDescent="0.25">
      <c r="F31" s="1">
        <v>81</v>
      </c>
      <c r="G31" s="21">
        <f t="shared" si="0"/>
        <v>-130121.80908515028</v>
      </c>
      <c r="J31" s="21">
        <f t="shared" si="1"/>
        <v>-251986.20908806589</v>
      </c>
    </row>
    <row r="32" spans="6:10" x14ac:dyDescent="0.25">
      <c r="F32" s="1">
        <v>82</v>
      </c>
      <c r="G32" s="21">
        <f t="shared" si="0"/>
        <v>-149889.86685094167</v>
      </c>
      <c r="J32" s="21">
        <f t="shared" si="1"/>
        <v>-326774.98739946535</v>
      </c>
    </row>
    <row r="33" spans="6:10" x14ac:dyDescent="0.25">
      <c r="F33" s="1">
        <v>83</v>
      </c>
      <c r="G33" s="21">
        <f t="shared" si="0"/>
        <v>-169838.95078674948</v>
      </c>
      <c r="J33" s="21">
        <f t="shared" si="1"/>
        <v>-402248.6446331304</v>
      </c>
    </row>
    <row r="34" spans="6:10" x14ac:dyDescent="0.25">
      <c r="F34" s="1">
        <v>84</v>
      </c>
      <c r="G34" s="21">
        <f t="shared" si="0"/>
        <v>-189970.71864138337</v>
      </c>
      <c r="J34" s="21">
        <f t="shared" si="1"/>
        <v>-478413.45257406338</v>
      </c>
    </row>
    <row r="35" spans="6:10" x14ac:dyDescent="0.25">
      <c r="F35" s="1">
        <v>85</v>
      </c>
      <c r="G35" s="21">
        <f t="shared" si="0"/>
        <v>-210286.84334450288</v>
      </c>
      <c r="J35" s="21">
        <f t="shared" si="1"/>
        <v>-555275.74044119543</v>
      </c>
    </row>
    <row r="36" spans="6:10" x14ac:dyDescent="0.25">
      <c r="F36" s="1">
        <v>86</v>
      </c>
      <c r="G36" s="21">
        <f t="shared" si="0"/>
        <v>-230789.0131456363</v>
      </c>
      <c r="J36" s="21">
        <f t="shared" si="1"/>
        <v>-632841.89541333786</v>
      </c>
    </row>
    <row r="37" spans="6:10" x14ac:dyDescent="0.25">
      <c r="F37" s="1">
        <v>87</v>
      </c>
      <c r="G37" s="21">
        <f t="shared" si="0"/>
        <v>-251478.93175447246</v>
      </c>
      <c r="J37" s="21">
        <f t="shared" si="1"/>
        <v>-711118.36315995036</v>
      </c>
    </row>
    <row r="38" spans="6:10" x14ac:dyDescent="0.25">
      <c r="F38" s="1">
        <v>88</v>
      </c>
      <c r="G38" s="21">
        <f t="shared" si="0"/>
        <v>-272358.31848243711</v>
      </c>
      <c r="J38" s="21">
        <f t="shared" si="1"/>
        <v>-790111.64837676997</v>
      </c>
    </row>
    <row r="39" spans="6:10" x14ac:dyDescent="0.25">
      <c r="F39" s="1">
        <v>89</v>
      </c>
      <c r="G39" s="21">
        <f t="shared" si="0"/>
        <v>-293428.90838556632</v>
      </c>
      <c r="J39" s="21">
        <f t="shared" si="1"/>
        <v>-869828.31532634434</v>
      </c>
    </row>
    <row r="40" spans="6:10" x14ac:dyDescent="0.25">
      <c r="F40" s="1">
        <v>90</v>
      </c>
      <c r="G40" s="21">
        <f t="shared" si="0"/>
        <v>-314692.45240868756</v>
      </c>
      <c r="J40" s="21">
        <f t="shared" si="1"/>
        <v>-950274.98838351551</v>
      </c>
    </row>
    <row r="41" spans="6:10" x14ac:dyDescent="0.25">
      <c r="F41" s="1">
        <v>91</v>
      </c>
      <c r="G41" s="21">
        <f t="shared" si="0"/>
        <v>-336150.71753092163</v>
      </c>
      <c r="J41" s="21">
        <f t="shared" si="1"/>
        <v>-1031458.3525858989</v>
      </c>
    </row>
    <row r="42" spans="6:10" x14ac:dyDescent="0.25">
      <c r="F42" s="1">
        <v>92</v>
      </c>
      <c r="G42" s="21">
        <f t="shared" ref="G42:G48" si="2">(G41-12*G$4)*(1+G$3)</f>
        <v>-357805.48691251682</v>
      </c>
      <c r="J42" s="21">
        <f t="shared" si="1"/>
        <v>-1113385.1541894032</v>
      </c>
    </row>
    <row r="43" spans="6:10" x14ac:dyDescent="0.25">
      <c r="F43" s="1">
        <v>93</v>
      </c>
      <c r="G43" s="21">
        <f t="shared" si="2"/>
        <v>-379658.56004302768</v>
      </c>
      <c r="J43" s="21">
        <f t="shared" si="1"/>
        <v>-1196062.201228837</v>
      </c>
    </row>
    <row r="44" spans="6:10" x14ac:dyDescent="0.25">
      <c r="F44" s="1">
        <v>94</v>
      </c>
      <c r="G44" s="21">
        <f t="shared" si="2"/>
        <v>-401711.75289085094</v>
      </c>
      <c r="J44" s="21">
        <f t="shared" si="1"/>
        <v>-1279496.3640836503</v>
      </c>
    </row>
    <row r="45" spans="6:10" x14ac:dyDescent="0.25">
      <c r="F45" s="1">
        <v>95</v>
      </c>
      <c r="G45" s="21">
        <f t="shared" si="2"/>
        <v>-423966.89805413043</v>
      </c>
      <c r="J45" s="21">
        <f t="shared" si="1"/>
        <v>-1363694.5760488554</v>
      </c>
    </row>
    <row r="46" spans="6:10" x14ac:dyDescent="0.25">
      <c r="F46" s="1">
        <v>96</v>
      </c>
      <c r="G46" s="21">
        <f t="shared" si="2"/>
        <v>-446425.84491304436</v>
      </c>
      <c r="J46" s="21">
        <f t="shared" si="1"/>
        <v>-1448663.8339111779</v>
      </c>
    </row>
    <row r="47" spans="6:10" x14ac:dyDescent="0.25">
      <c r="F47" s="1">
        <v>97</v>
      </c>
      <c r="G47" s="21">
        <f t="shared" si="2"/>
        <v>-469090.45978348679</v>
      </c>
      <c r="J47" s="21">
        <f t="shared" si="1"/>
        <v>-1534411.1985304814</v>
      </c>
    </row>
    <row r="48" spans="6:10" x14ac:dyDescent="0.25">
      <c r="F48" s="1">
        <v>98</v>
      </c>
      <c r="G48" s="21">
        <f t="shared" si="2"/>
        <v>-491962.62607215671</v>
      </c>
      <c r="J48" s="21">
        <f t="shared" si="1"/>
        <v>-1620943.7954265184</v>
      </c>
    </row>
    <row r="49" spans="6:10" x14ac:dyDescent="0.25">
      <c r="F49" s="1">
        <v>99</v>
      </c>
      <c r="G49" s="21">
        <f>(G48-12*G$4)*(1+G$3)</f>
        <v>-515044.24443306722</v>
      </c>
      <c r="J49" s="21">
        <f t="shared" si="1"/>
        <v>-1708268.815371054</v>
      </c>
    </row>
    <row r="50" spans="6:10" x14ac:dyDescent="0.25">
      <c r="F50" s="1">
        <v>100</v>
      </c>
      <c r="G50" s="21">
        <f>(G49-12*G$4)*(1+G$3)</f>
        <v>-538337.23292548792</v>
      </c>
      <c r="J50" s="21">
        <f>(J49-12*J$15)*(1+G$3)</f>
        <v>-1796393.5149854112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52E3-FD4B-4265-AB10-F735746DF463}">
  <dimension ref="K2:L9"/>
  <sheetViews>
    <sheetView workbookViewId="0">
      <selection activeCell="R7" sqref="R7"/>
    </sheetView>
  </sheetViews>
  <sheetFormatPr baseColWidth="10" defaultColWidth="11.42578125" defaultRowHeight="15" x14ac:dyDescent="0.25"/>
  <cols>
    <col min="11" max="11" width="21.7109375" customWidth="1"/>
    <col min="12" max="12" width="21" customWidth="1"/>
  </cols>
  <sheetData>
    <row r="2" spans="11:12" x14ac:dyDescent="0.25">
      <c r="K2" t="s">
        <v>5</v>
      </c>
    </row>
    <row r="5" spans="11:12" x14ac:dyDescent="0.25">
      <c r="K5" s="93">
        <f>Overview!E4</f>
        <v>101000</v>
      </c>
      <c r="L5" s="34">
        <f>Overview!E30</f>
        <v>101000</v>
      </c>
    </row>
    <row r="6" spans="11:12" x14ac:dyDescent="0.25">
      <c r="K6" s="93">
        <f>Overview!E5</f>
        <v>89345</v>
      </c>
      <c r="L6" s="34">
        <f>Overview!E31</f>
        <v>104817.77688610782</v>
      </c>
    </row>
    <row r="7" spans="11:12" x14ac:dyDescent="0.25">
      <c r="K7" s="93">
        <f>Overview!E6</f>
        <v>105000</v>
      </c>
      <c r="L7" s="34">
        <f>Overview!E32</f>
        <v>108779.86486481068</v>
      </c>
    </row>
    <row r="8" spans="11:12" x14ac:dyDescent="0.25">
      <c r="K8" s="93">
        <f>Overview!E7</f>
        <v>118100</v>
      </c>
      <c r="L8" s="34">
        <f>Overview!E33</f>
        <v>112891.71886238302</v>
      </c>
    </row>
    <row r="9" spans="11:12" x14ac:dyDescent="0.25">
      <c r="K9" s="93">
        <f>Overview!E8</f>
        <v>118100</v>
      </c>
      <c r="L9" s="34">
        <f>Overview!E34</f>
        <v>117159.00000006409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Overview</vt:lpstr>
      <vt:lpstr>Kredite &amp; Benchmarks</vt:lpstr>
      <vt:lpstr>Fonds</vt:lpstr>
      <vt:lpstr>Auszahlung</vt:lpstr>
      <vt:lpstr>Diagramm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2025-05-31T13:17:18Z</dcterms:modified>
  <cp:category/>
  <cp:contentStatus/>
</cp:coreProperties>
</file>